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fileSharing readOnlyRecommended="1"/>
  <workbookPr/>
  <mc:AlternateContent xmlns:mc="http://schemas.openxmlformats.org/markup-compatibility/2006">
    <mc:Choice Requires="x15">
      <x15ac:absPath xmlns:x15ac="http://schemas.microsoft.com/office/spreadsheetml/2010/11/ac" url="R:\Financial Aid\Communication\2223\Aid Offer Materials\Grad &amp; Law\Billing Worksheets\"/>
    </mc:Choice>
  </mc:AlternateContent>
  <xr:revisionPtr revIDLastSave="0" documentId="13_ncr:1_{79802795-AFAD-4403-87E9-A5FCBFF288F8}" xr6:coauthVersionLast="47" xr6:coauthVersionMax="47" xr10:uidLastSave="{00000000-0000-0000-0000-000000000000}"/>
  <workbookProtection workbookAlgorithmName="SHA-512" workbookHashValue="vvBrDtqyJv67/yKaSPrfAhH6AJ1xNTlncpNCQVEWk653XhdS0n2ajckFK04l0rx5+ReqCeUg6xry06vssNRcVg==" workbookSaltValue="jGgkl+lyK+KOijI/dj10BA==" workbookSpinCount="100000" lockStructure="1"/>
  <bookViews>
    <workbookView xWindow="36915" yWindow="2010" windowWidth="19050" windowHeight="12975" tabRatio="721" xr2:uid="{00000000-000D-0000-FFFF-FFFF00000000}"/>
  </bookViews>
  <sheets>
    <sheet name="Worksheets Home" sheetId="4" r:id="rId1"/>
    <sheet name="On-Campus MSW" sheetId="32" r:id="rId2"/>
    <sheet name="On-Campus PhD" sheetId="33" r:id="rId3"/>
    <sheet name="West. CO &amp; 4 Corners" sheetId="12" r:id="rId4"/>
    <sheet name="MSW@Denver" sheetId="15" r:id="rId5"/>
    <sheet name="Data" sheetId="31" state="hidden" r:id="rId6"/>
  </sheets>
  <definedNames>
    <definedName name="Credits" localSheetId="2">#REF!</definedName>
    <definedName name="Credi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7" i="33" l="1"/>
  <c r="L17" i="33"/>
  <c r="J17" i="33"/>
  <c r="N18" i="32"/>
  <c r="L18" i="32"/>
  <c r="J18" i="32"/>
  <c r="J14" i="33"/>
  <c r="N14" i="33"/>
  <c r="L14" i="33"/>
  <c r="C32" i="33" l="1"/>
  <c r="N12" i="33"/>
  <c r="L12" i="33"/>
  <c r="J12" i="33"/>
  <c r="H26" i="33"/>
  <c r="N25" i="33"/>
  <c r="L25" i="33"/>
  <c r="J25" i="33"/>
  <c r="N24" i="33"/>
  <c r="L24" i="33"/>
  <c r="J24" i="33"/>
  <c r="N23" i="33"/>
  <c r="L23" i="33"/>
  <c r="J23" i="33"/>
  <c r="N22" i="33"/>
  <c r="L22" i="33"/>
  <c r="J22" i="33"/>
  <c r="N21" i="33"/>
  <c r="L21" i="33"/>
  <c r="J21" i="33"/>
  <c r="N16" i="33"/>
  <c r="J16" i="33"/>
  <c r="N15" i="33"/>
  <c r="L15" i="33"/>
  <c r="J15" i="33"/>
  <c r="N18" i="33" l="1"/>
  <c r="H16" i="33"/>
  <c r="H14" i="33"/>
  <c r="H17" i="33"/>
  <c r="L18" i="33"/>
  <c r="J18" i="33"/>
  <c r="L27" i="33"/>
  <c r="H24" i="33"/>
  <c r="N27" i="33"/>
  <c r="H23" i="33"/>
  <c r="H15" i="33"/>
  <c r="J27" i="33"/>
  <c r="H12" i="33"/>
  <c r="H18" i="33" l="1"/>
  <c r="N29" i="33"/>
  <c r="L29" i="33"/>
  <c r="H27" i="33"/>
  <c r="J29" i="33"/>
  <c r="H29" i="33" l="1"/>
  <c r="O20" i="15"/>
  <c r="M20" i="15"/>
  <c r="K20" i="15"/>
  <c r="I20" i="15"/>
  <c r="O19" i="15"/>
  <c r="M19" i="15"/>
  <c r="K19" i="15"/>
  <c r="I19" i="15"/>
  <c r="M20" i="12"/>
  <c r="K20" i="12"/>
  <c r="I20" i="12"/>
  <c r="M19" i="12"/>
  <c r="K19" i="12"/>
  <c r="I19" i="12"/>
  <c r="I12" i="12"/>
  <c r="K12" i="12"/>
  <c r="M12" i="12"/>
  <c r="N25" i="32" l="1"/>
  <c r="L25" i="32"/>
  <c r="J25" i="32"/>
  <c r="N24" i="32"/>
  <c r="L24" i="32"/>
  <c r="J24" i="32"/>
  <c r="O13" i="15" l="1"/>
  <c r="M13" i="15"/>
  <c r="K13" i="15"/>
  <c r="I13" i="15"/>
  <c r="O12" i="15"/>
  <c r="M12" i="15"/>
  <c r="K12" i="15"/>
  <c r="I12" i="15"/>
  <c r="M13" i="12"/>
  <c r="K13" i="12"/>
  <c r="I13" i="12"/>
  <c r="N16" i="32"/>
  <c r="L16" i="32"/>
  <c r="J16" i="32"/>
  <c r="N15" i="32"/>
  <c r="L15" i="32"/>
  <c r="J15" i="32"/>
  <c r="C33" i="32"/>
  <c r="N13" i="32"/>
  <c r="L13" i="32"/>
  <c r="J13" i="32"/>
  <c r="H16" i="32" l="1"/>
  <c r="G20" i="15" l="1"/>
  <c r="G19" i="15"/>
  <c r="G20" i="12" l="1"/>
  <c r="G19" i="12"/>
  <c r="N17" i="32"/>
  <c r="J17" i="32"/>
  <c r="J22" i="32" l="1"/>
  <c r="L22" i="32"/>
  <c r="N22" i="32"/>
  <c r="J23" i="32"/>
  <c r="L23" i="32"/>
  <c r="N23" i="32"/>
  <c r="J26" i="32"/>
  <c r="L26" i="32"/>
  <c r="N26" i="32"/>
  <c r="H27" i="32"/>
  <c r="N19" i="32" l="1"/>
  <c r="H17" i="32"/>
  <c r="H18" i="32"/>
  <c r="L19" i="32"/>
  <c r="H15" i="32"/>
  <c r="H13" i="32"/>
  <c r="J28" i="32"/>
  <c r="H24" i="32"/>
  <c r="N28" i="32"/>
  <c r="L28" i="32"/>
  <c r="H25" i="32"/>
  <c r="J19" i="32"/>
  <c r="N30" i="32" l="1"/>
  <c r="L30" i="32"/>
  <c r="H19" i="32"/>
  <c r="J30" i="32"/>
  <c r="H28" i="32"/>
  <c r="H30" i="32" l="1"/>
  <c r="O21" i="15" l="1"/>
  <c r="O18" i="15"/>
  <c r="O17" i="15"/>
  <c r="M21" i="15"/>
  <c r="M18" i="15"/>
  <c r="M17" i="15"/>
  <c r="K21" i="15"/>
  <c r="K18" i="15"/>
  <c r="K17" i="15"/>
  <c r="I21" i="15"/>
  <c r="I18" i="15"/>
  <c r="I17" i="15"/>
  <c r="M21" i="12"/>
  <c r="M18" i="12"/>
  <c r="M17" i="12"/>
  <c r="K21" i="12"/>
  <c r="K18" i="12"/>
  <c r="K17" i="12"/>
  <c r="G22" i="15" l="1"/>
  <c r="M23" i="15" l="1"/>
  <c r="O14" i="15"/>
  <c r="M14" i="15"/>
  <c r="K14" i="15"/>
  <c r="G13" i="15"/>
  <c r="I14" i="15"/>
  <c r="G12" i="15"/>
  <c r="G23" i="15"/>
  <c r="I21" i="12"/>
  <c r="I18" i="12"/>
  <c r="I17" i="12"/>
  <c r="O23" i="15" l="1"/>
  <c r="O25" i="15" s="1"/>
  <c r="M25" i="15"/>
  <c r="I23" i="15"/>
  <c r="I25" i="15" s="1"/>
  <c r="G14" i="15"/>
  <c r="G25" i="15" s="1"/>
  <c r="K23" i="15"/>
  <c r="K25" i="15" s="1"/>
  <c r="M23" i="12" l="1"/>
  <c r="I14" i="12"/>
  <c r="K14" i="12"/>
  <c r="M14" i="12"/>
  <c r="G13" i="12"/>
  <c r="G12" i="12"/>
  <c r="G23" i="12"/>
  <c r="I23" i="12" l="1"/>
  <c r="I25" i="12" s="1"/>
  <c r="K23" i="12"/>
  <c r="K25" i="12" s="1"/>
  <c r="M25" i="12"/>
  <c r="G14" i="12"/>
  <c r="G25" i="12" s="1"/>
</calcChain>
</file>

<file path=xl/sharedStrings.xml><?xml version="1.0" encoding="utf-8"?>
<sst xmlns="http://schemas.openxmlformats.org/spreadsheetml/2006/main" count="267" uniqueCount="92">
  <si>
    <t>Fees:</t>
  </si>
  <si>
    <r>
      <t>Tuition</t>
    </r>
    <r>
      <rPr>
        <vertAlign val="superscript"/>
        <sz val="11"/>
        <color theme="1"/>
        <rFont val="Calibri"/>
        <family val="2"/>
        <scheme val="minor"/>
      </rPr>
      <t>1</t>
    </r>
  </si>
  <si>
    <r>
      <t>Technology Fee</t>
    </r>
    <r>
      <rPr>
        <vertAlign val="superscript"/>
        <sz val="11"/>
        <color theme="1"/>
        <rFont val="Calibri"/>
        <family val="2"/>
        <scheme val="minor"/>
      </rPr>
      <t>2</t>
    </r>
  </si>
  <si>
    <t>ANNUAL</t>
  </si>
  <si>
    <t>Yes</t>
  </si>
  <si>
    <t>No</t>
  </si>
  <si>
    <t>Total Charges:</t>
  </si>
  <si>
    <t>CHARGES</t>
  </si>
  <si>
    <t>Outside Scholarship(s)</t>
  </si>
  <si>
    <t>Other Assistance</t>
  </si>
  <si>
    <t>Total Credits:</t>
  </si>
  <si>
    <t>CREDITS</t>
  </si>
  <si>
    <t>Estimated Balance:</t>
  </si>
  <si>
    <t>Notes:</t>
  </si>
  <si>
    <r>
      <t xml:space="preserve">Financial Aid | University Hall 255 | Ph: 303-871-4020 | Fax: 303-871-2341 | </t>
    </r>
    <r>
      <rPr>
        <u/>
        <sz val="11"/>
        <color rgb="FF98002E"/>
        <rFont val="Calibri"/>
        <family val="2"/>
        <scheme val="minor"/>
      </rPr>
      <t>finaid@du.edu</t>
    </r>
    <r>
      <rPr>
        <sz val="11"/>
        <color theme="1"/>
        <rFont val="Calibri"/>
        <family val="2"/>
        <scheme val="minor"/>
      </rPr>
      <t xml:space="preserve"> | </t>
    </r>
    <r>
      <rPr>
        <u/>
        <sz val="11"/>
        <color rgb="FF98002E"/>
        <rFont val="Calibri"/>
        <family val="2"/>
        <scheme val="minor"/>
      </rPr>
      <t>www.du.edu/financialaid</t>
    </r>
  </si>
  <si>
    <t>How many credits do you plan to take each quarter?</t>
  </si>
  <si>
    <t>DU Scholarships and Grants</t>
  </si>
  <si>
    <t>Student Fees</t>
  </si>
  <si>
    <r>
      <rPr>
        <vertAlign val="superscript"/>
        <sz val="11"/>
        <color theme="1"/>
        <rFont val="Calibri"/>
        <family val="2"/>
        <scheme val="minor"/>
      </rPr>
      <t>2</t>
    </r>
    <r>
      <rPr>
        <sz val="11"/>
        <color theme="1"/>
        <rFont val="Calibri"/>
        <family val="2"/>
        <scheme val="minor"/>
      </rPr>
      <t>Technology fees are $4 per credit. If you will be enrolled in less than 4 credits, you will not be eligible for federal student loans.</t>
    </r>
  </si>
  <si>
    <r>
      <t>Direct Unsubsidized Loan</t>
    </r>
    <r>
      <rPr>
        <vertAlign val="superscript"/>
        <sz val="11"/>
        <color theme="1"/>
        <rFont val="Calibri"/>
        <family val="2"/>
        <scheme val="minor"/>
      </rPr>
      <t>3</t>
    </r>
  </si>
  <si>
    <r>
      <t>Direct Graduate PLUS Loan</t>
    </r>
    <r>
      <rPr>
        <vertAlign val="superscript"/>
        <sz val="11"/>
        <color theme="1"/>
        <rFont val="Calibri"/>
        <family val="2"/>
        <scheme val="minor"/>
      </rPr>
      <t>4</t>
    </r>
  </si>
  <si>
    <t>Health Insurance</t>
  </si>
  <si>
    <t>Other Annual Assistance</t>
  </si>
  <si>
    <t>Payment(s) Made and/or Employer Reimbursements</t>
  </si>
  <si>
    <t>4 credits</t>
  </si>
  <si>
    <t>5 credits</t>
  </si>
  <si>
    <t>6 credits</t>
  </si>
  <si>
    <t>7 credits</t>
  </si>
  <si>
    <t>8 credits</t>
  </si>
  <si>
    <t>9 credits</t>
  </si>
  <si>
    <t>10 credits</t>
  </si>
  <si>
    <t>11 credits</t>
  </si>
  <si>
    <t>12 credits</t>
  </si>
  <si>
    <t>13 credits</t>
  </si>
  <si>
    <t>14 credits</t>
  </si>
  <si>
    <t>15 credits</t>
  </si>
  <si>
    <t>16 credits</t>
  </si>
  <si>
    <t>17 credits</t>
  </si>
  <si>
    <t>18 credits</t>
  </si>
  <si>
    <t>19 credits</t>
  </si>
  <si>
    <t>20 credits</t>
  </si>
  <si>
    <t>not enrolled</t>
  </si>
  <si>
    <t>How many credits will you take each quarter?</t>
  </si>
  <si>
    <t>Tech Fee</t>
  </si>
  <si>
    <t>21 credits</t>
  </si>
  <si>
    <t>22 credits</t>
  </si>
  <si>
    <t xml:space="preserve">Will you use DU's Health &amp; Counseling Services? </t>
  </si>
  <si>
    <t>Will you enroll in DU's Health Insurance Plan?</t>
  </si>
  <si>
    <t>Technology fees are $4 per credit. If you will be enrolled in less than 4 credits, you will not be eligible for federal student loans.</t>
  </si>
  <si>
    <t>When will/did you start this program?</t>
  </si>
  <si>
    <t>2020 Summer Quarter or Later</t>
  </si>
  <si>
    <t>Prior to 2020 Summer Quarter</t>
  </si>
  <si>
    <t>4C &amp; West CO</t>
  </si>
  <si>
    <t>MSW@Denver</t>
  </si>
  <si>
    <t>Western Colorado or Four Corners Program</t>
  </si>
  <si>
    <t>MSW@Denver Online Program</t>
  </si>
  <si>
    <t>Choose Your Program:</t>
  </si>
  <si>
    <t>This worksheet automatically deducts the 1.057% origination fee from the Direct Unsubsidized loan amount.</t>
  </si>
  <si>
    <t>The Direct Graduate PLUS loan is a supplemental, credit-based loan that you must apply for separately through StudentAid.gov. This loan will not appear on your initial financial aid offer and is not guaranteed financing, since you must be approved by the Department of Education before you can borrow it. This worksheet automatically deducts the 4.228% origination fee from the total amount.</t>
  </si>
  <si>
    <r>
      <rPr>
        <vertAlign val="superscript"/>
        <sz val="11"/>
        <color theme="1"/>
        <rFont val="Calibri"/>
        <family val="2"/>
        <scheme val="minor"/>
      </rPr>
      <t>3</t>
    </r>
    <r>
      <rPr>
        <sz val="11"/>
        <color theme="1"/>
        <rFont val="Calibri"/>
        <family val="2"/>
        <scheme val="minor"/>
      </rPr>
      <t>This worksheet automatically deducts the 1.057% origination fee from the Direct Unsubsidized loan amount.</t>
    </r>
  </si>
  <si>
    <r>
      <rPr>
        <vertAlign val="superscript"/>
        <sz val="11"/>
        <color theme="1"/>
        <rFont val="Calibri"/>
        <family val="2"/>
        <scheme val="minor"/>
      </rPr>
      <t>4</t>
    </r>
    <r>
      <rPr>
        <sz val="11"/>
        <color theme="1"/>
        <rFont val="Calibri"/>
        <family val="2"/>
        <scheme val="minor"/>
      </rPr>
      <t>The Direct Graduate PLUS loan is a supplemental, credit-based loan that you must apply for separately through StudentAid.gov. This loan will not appear on your initial financial aid offer and is not guaranteed financing, since you must be approved by the Department of Education before you can borrow it. This worksheet automatically deducts the 4.228% origination fee from the total amount.</t>
    </r>
  </si>
  <si>
    <t>On-Campus MSW Program</t>
  </si>
  <si>
    <t>On-Campus PhD Program</t>
  </si>
  <si>
    <t>2020 Fall Quarter or Later</t>
  </si>
  <si>
    <t>Prior to 2020 Fall Quarter</t>
  </si>
  <si>
    <r>
      <rPr>
        <b/>
        <i/>
        <sz val="11"/>
        <color rgb="FF000000"/>
        <rFont val="Calibri"/>
        <family val="2"/>
        <scheme val="minor"/>
      </rPr>
      <t xml:space="preserve">Note: </t>
    </r>
    <r>
      <rPr>
        <i/>
        <sz val="11"/>
        <color rgb="FF000000"/>
        <rFont val="Calibri"/>
        <family val="2"/>
        <scheme val="minor"/>
      </rPr>
      <t xml:space="preserve">If you are in the Ph.D.,  Western Colorado, Four Corners, or online program, please use the worksheets on the next tabs. </t>
    </r>
  </si>
  <si>
    <r>
      <t xml:space="preserve">2022-23 Estimated Billing Worksheets
</t>
    </r>
    <r>
      <rPr>
        <b/>
        <i/>
        <sz val="16"/>
        <color theme="1"/>
        <rFont val="Calibri"/>
        <family val="2"/>
        <scheme val="minor"/>
      </rPr>
      <t>Graduate School of Social Work</t>
    </r>
  </si>
  <si>
    <r>
      <t>These worksheets are designed to help you estimate your invoices throughout the academic year.</t>
    </r>
    <r>
      <rPr>
        <b/>
        <sz val="11"/>
        <color rgb="FF000000"/>
        <rFont val="Calibri"/>
        <family val="2"/>
        <scheme val="minor"/>
      </rPr>
      <t xml:space="preserve"> In order to complete a worksheet, you'll need a copy of your most recent 2022-2023 financial aid offer.</t>
    </r>
    <r>
      <rPr>
        <sz val="11"/>
        <color rgb="FF000000"/>
        <rFont val="Calibri"/>
        <family val="2"/>
        <scheme val="minor"/>
      </rPr>
      <t xml:space="preserve"> Fill in the sections highlighted in blue. You will likely not have all the types of aid listed in the "credits" section. Please remember that these worksheets are only a planning tool. Additional, unanticipated charges or credits may be included on your actual bill. </t>
    </r>
  </si>
  <si>
    <t>On-Campus Flat Rate $1535</t>
  </si>
  <si>
    <t>On-Campus $1,284</t>
  </si>
  <si>
    <t>Tuition for the 2022-2023 academic year is $1,284 per credit.</t>
  </si>
  <si>
    <t>Tuition for the 2022-2023 academic year is $1,535 per credit. If enrolled in 12-18 credits, tuition will be charged a flat rate of $18,420.</t>
  </si>
  <si>
    <t>Prior to Summer 2020 ($844)</t>
  </si>
  <si>
    <t>Summer 2020 or Later ($786)</t>
  </si>
  <si>
    <t>On-Campus No Flat Rate $535</t>
  </si>
  <si>
    <t>Prior to Summer 2020 ($1,059)</t>
  </si>
  <si>
    <t>Summer 2020 or Later ($1,141)</t>
  </si>
  <si>
    <t>Tuition for the 2022-2023 academic year is $1,535 per credit.</t>
  </si>
  <si>
    <r>
      <t xml:space="preserve">2022-23 Estimated Billing Worksheet
</t>
    </r>
    <r>
      <rPr>
        <b/>
        <i/>
        <sz val="16"/>
        <color theme="1"/>
        <rFont val="Calibri"/>
        <family val="2"/>
        <scheme val="minor"/>
      </rPr>
      <t>Denver Campus MSW Program</t>
    </r>
  </si>
  <si>
    <t>FALL 2022:</t>
  </si>
  <si>
    <t>WINTER 2023:</t>
  </si>
  <si>
    <t>SPRING 2023:</t>
  </si>
  <si>
    <t>FALL 2022</t>
  </si>
  <si>
    <t>WINTER 2023</t>
  </si>
  <si>
    <t>SPRING 2023</t>
  </si>
  <si>
    <r>
      <t xml:space="preserve">2022-23 Estimated Billing Worksheet
</t>
    </r>
    <r>
      <rPr>
        <b/>
        <i/>
        <sz val="16"/>
        <color theme="1"/>
        <rFont val="Calibri"/>
        <family val="2"/>
        <scheme val="minor"/>
      </rPr>
      <t>Denver Campus PhD Program</t>
    </r>
  </si>
  <si>
    <r>
      <t xml:space="preserve">2022-23 Estimated Billing Worksheet
</t>
    </r>
    <r>
      <rPr>
        <b/>
        <i/>
        <sz val="16"/>
        <color theme="1"/>
        <rFont val="Calibri"/>
        <family val="2"/>
        <scheme val="minor"/>
      </rPr>
      <t>Four Corners &amp; Western Colorado Program</t>
    </r>
  </si>
  <si>
    <r>
      <rPr>
        <vertAlign val="superscript"/>
        <sz val="11"/>
        <color theme="1"/>
        <rFont val="Calibri"/>
        <family val="2"/>
        <scheme val="minor"/>
      </rPr>
      <t>1</t>
    </r>
    <r>
      <rPr>
        <sz val="11"/>
        <color theme="1"/>
        <rFont val="Calibri"/>
        <family val="2"/>
        <scheme val="minor"/>
      </rPr>
      <t>Tuition for students who started prior to the 2020 summer quarter is $844 per credit. Tuition for students who started in the 2020 summer quarter or later is $786 per credit.</t>
    </r>
  </si>
  <si>
    <r>
      <t xml:space="preserve">2022-23 Estimated Billing Worksheet
</t>
    </r>
    <r>
      <rPr>
        <b/>
        <i/>
        <sz val="16"/>
        <color theme="1"/>
        <rFont val="Calibri"/>
        <family val="2"/>
        <scheme val="minor"/>
      </rPr>
      <t>MSW@Denver Online Program</t>
    </r>
  </si>
  <si>
    <t>SUMMER 2023:</t>
  </si>
  <si>
    <t>SUMMER 2023</t>
  </si>
  <si>
    <r>
      <rPr>
        <vertAlign val="superscript"/>
        <sz val="11"/>
        <color theme="1"/>
        <rFont val="Calibri"/>
        <family val="2"/>
        <scheme val="minor"/>
      </rPr>
      <t>1</t>
    </r>
    <r>
      <rPr>
        <sz val="11"/>
        <color theme="1"/>
        <rFont val="Calibri"/>
        <family val="2"/>
        <scheme val="minor"/>
      </rPr>
      <t>Tuition for students who started prior to the 2020 summer quarter is $1,059 per credit. Tuition for students who started in the 2020 summer quarter or later is $1,141 per credit.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</si>
</sst>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0"/>
      <color rgb="FF000000"/>
      <name val="Calibri"/>
      <family val="2"/>
      <scheme val="minor"/>
    </font>
    <font>
      <vertAlign val="superscript"/>
      <sz val="11"/>
      <color theme="1"/>
      <name val="Calibri"/>
      <family val="2"/>
      <scheme val="minor"/>
    </font>
    <font>
      <b/>
      <i/>
      <sz val="14"/>
      <color rgb="FF98002E"/>
      <name val="Calibri"/>
      <family val="2"/>
      <scheme val="minor"/>
    </font>
    <font>
      <b/>
      <sz val="14"/>
      <color theme="1"/>
      <name val="Calibri"/>
      <family val="2"/>
      <scheme val="minor"/>
    </font>
    <font>
      <u/>
      <sz val="11"/>
      <color rgb="FF98002E"/>
      <name val="Calibri"/>
      <family val="2"/>
      <scheme val="minor"/>
    </font>
    <font>
      <b/>
      <i/>
      <sz val="16"/>
      <color theme="1"/>
      <name val="Calibri"/>
      <family val="2"/>
      <scheme val="minor"/>
    </font>
    <font>
      <b/>
      <sz val="12"/>
      <color theme="1"/>
      <name val="Calibri"/>
      <family val="2"/>
      <scheme val="minor"/>
    </font>
    <font>
      <sz val="11"/>
      <color rgb="FF000000"/>
      <name val="Calibri"/>
      <family val="2"/>
      <scheme val="minor"/>
    </font>
    <font>
      <b/>
      <sz val="11"/>
      <color rgb="FF000000"/>
      <name val="Calibri"/>
      <family val="2"/>
      <scheme val="minor"/>
    </font>
    <font>
      <u/>
      <sz val="11"/>
      <color theme="10"/>
      <name val="Calibri"/>
      <family val="2"/>
      <scheme val="minor"/>
    </font>
    <font>
      <b/>
      <i/>
      <u/>
      <sz val="14"/>
      <color theme="1"/>
      <name val="Calibri"/>
      <family val="2"/>
      <scheme val="minor"/>
    </font>
    <font>
      <i/>
      <sz val="11"/>
      <color rgb="FF000000"/>
      <name val="Calibri"/>
      <family val="2"/>
      <scheme val="minor"/>
    </font>
    <font>
      <b/>
      <i/>
      <sz val="11"/>
      <color rgb="FF000000"/>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19">
    <border>
      <left/>
      <right/>
      <top/>
      <bottom/>
      <diagonal/>
    </border>
    <border>
      <left/>
      <right/>
      <top style="thin">
        <color indexed="64"/>
      </top>
      <bottom/>
      <diagonal/>
    </border>
    <border>
      <left/>
      <right/>
      <top style="thin">
        <color indexed="64"/>
      </top>
      <bottom style="medium">
        <color indexed="64"/>
      </bottom>
      <diagonal/>
    </border>
    <border>
      <left/>
      <right/>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dashed">
        <color indexed="64"/>
      </right>
      <top/>
      <bottom style="dashed">
        <color indexed="64"/>
      </bottom>
      <diagonal/>
    </border>
    <border>
      <left/>
      <right/>
      <top style="double">
        <color auto="1"/>
      </top>
      <bottom style="double">
        <color auto="1"/>
      </bottom>
      <diagonal/>
    </border>
    <border>
      <left style="dashed">
        <color auto="1"/>
      </left>
      <right/>
      <top style="dashed">
        <color auto="1"/>
      </top>
      <bottom style="dashed">
        <color auto="1"/>
      </bottom>
      <diagonal/>
    </border>
    <border>
      <left/>
      <right style="dashed">
        <color auto="1"/>
      </right>
      <top style="dashed">
        <color auto="1"/>
      </top>
      <bottom style="dashed">
        <color auto="1"/>
      </bottom>
      <diagonal/>
    </border>
    <border>
      <left/>
      <right/>
      <top style="dashed">
        <color auto="1"/>
      </top>
      <bottom style="dashed">
        <color auto="1"/>
      </bottom>
      <diagonal/>
    </border>
    <border>
      <left style="thin">
        <color indexed="64"/>
      </left>
      <right style="thin">
        <color indexed="64"/>
      </right>
      <top style="thin">
        <color indexed="64"/>
      </top>
      <bottom style="thin">
        <color indexed="64"/>
      </bottom>
      <diagonal/>
    </border>
    <border>
      <left/>
      <right style="dashed">
        <color indexed="64"/>
      </right>
      <top/>
      <bottom/>
      <diagonal/>
    </border>
    <border>
      <left/>
      <right style="dashed">
        <color indexed="64"/>
      </right>
      <top/>
      <bottom style="thin">
        <color indexed="64"/>
      </bottom>
      <diagonal/>
    </border>
    <border>
      <left style="dotted">
        <color indexed="64"/>
      </left>
      <right style="dotted">
        <color indexed="64"/>
      </right>
      <top style="dotted">
        <color indexed="64"/>
      </top>
      <bottom style="thin">
        <color indexed="64"/>
      </bottom>
      <diagonal/>
    </border>
    <border>
      <left/>
      <right style="dotted">
        <color auto="1"/>
      </right>
      <top style="dotted">
        <color auto="1"/>
      </top>
      <bottom style="dotted">
        <color auto="1"/>
      </bottom>
      <diagonal/>
    </border>
    <border>
      <left style="dotted">
        <color auto="1"/>
      </left>
      <right/>
      <top style="dotted">
        <color auto="1"/>
      </top>
      <bottom style="dotted">
        <color auto="1"/>
      </bottom>
      <diagonal/>
    </border>
    <border>
      <left/>
      <right/>
      <top/>
      <bottom style="dashed">
        <color indexed="64"/>
      </bottom>
      <diagonal/>
    </border>
    <border>
      <left/>
      <right/>
      <top style="dotted">
        <color auto="1"/>
      </top>
      <bottom style="dotted">
        <color auto="1"/>
      </bottom>
      <diagonal/>
    </border>
  </borders>
  <cellStyleXfs count="3">
    <xf numFmtId="0" fontId="0" fillId="0" borderId="0"/>
    <xf numFmtId="44" fontId="1" fillId="0" borderId="0" applyFont="0" applyFill="0" applyBorder="0" applyAlignment="0" applyProtection="0"/>
    <xf numFmtId="0" fontId="13" fillId="0" borderId="0" applyNumberFormat="0" applyFill="0" applyBorder="0" applyAlignment="0" applyProtection="0"/>
  </cellStyleXfs>
  <cellXfs count="96">
    <xf numFmtId="0" fontId="0" fillId="0" borderId="0" xfId="0"/>
    <xf numFmtId="0" fontId="2" fillId="0" borderId="2" xfId="0" applyFont="1" applyBorder="1"/>
    <xf numFmtId="0" fontId="0" fillId="0" borderId="2" xfId="0" applyBorder="1"/>
    <xf numFmtId="0" fontId="0" fillId="0" borderId="2" xfId="0" applyBorder="1" applyAlignment="1">
      <alignment horizontal="center"/>
    </xf>
    <xf numFmtId="44" fontId="2" fillId="0" borderId="2" xfId="1" applyFont="1" applyBorder="1" applyAlignment="1">
      <alignment horizontal="center"/>
    </xf>
    <xf numFmtId="44" fontId="0" fillId="0" borderId="0" xfId="1" applyFont="1"/>
    <xf numFmtId="0" fontId="6" fillId="0" borderId="0" xfId="0" applyFont="1" applyBorder="1" applyAlignment="1">
      <alignment horizontal="left"/>
    </xf>
    <xf numFmtId="0" fontId="0" fillId="0" borderId="3" xfId="0" applyBorder="1"/>
    <xf numFmtId="44" fontId="0" fillId="0" borderId="3" xfId="1" applyFont="1" applyBorder="1"/>
    <xf numFmtId="0" fontId="2" fillId="0" borderId="0" xfId="0" applyFont="1"/>
    <xf numFmtId="44" fontId="2" fillId="0" borderId="0" xfId="1" applyFont="1"/>
    <xf numFmtId="0" fontId="0" fillId="3" borderId="0" xfId="0" applyFill="1" applyAlignment="1">
      <alignment horizontal="left"/>
    </xf>
    <xf numFmtId="0" fontId="0" fillId="3" borderId="0" xfId="0" applyFill="1"/>
    <xf numFmtId="44" fontId="0" fillId="3" borderId="0" xfId="1" applyFont="1" applyFill="1"/>
    <xf numFmtId="0" fontId="0" fillId="3" borderId="0" xfId="0" applyFill="1" applyAlignment="1">
      <alignment horizontal="left" indent="2"/>
    </xf>
    <xf numFmtId="0" fontId="0" fillId="0" borderId="7" xfId="0" applyBorder="1"/>
    <xf numFmtId="0" fontId="7" fillId="0" borderId="7" xfId="0" applyFont="1" applyBorder="1"/>
    <xf numFmtId="44" fontId="0" fillId="2" borderId="6" xfId="1" applyNumberFormat="1" applyFont="1" applyFill="1" applyBorder="1" applyProtection="1">
      <protection locked="0"/>
    </xf>
    <xf numFmtId="44" fontId="0" fillId="2" borderId="4" xfId="1" applyFont="1" applyFill="1" applyBorder="1" applyProtection="1">
      <protection locked="0"/>
    </xf>
    <xf numFmtId="44" fontId="0" fillId="2" borderId="4" xfId="0" applyNumberFormat="1" applyFill="1" applyBorder="1" applyProtection="1">
      <protection locked="0"/>
    </xf>
    <xf numFmtId="44" fontId="0" fillId="2" borderId="5" xfId="1" applyFont="1" applyFill="1" applyBorder="1" applyProtection="1">
      <protection locked="0"/>
    </xf>
    <xf numFmtId="0" fontId="0" fillId="0" borderId="1" xfId="0" applyBorder="1"/>
    <xf numFmtId="0" fontId="3" fillId="0" borderId="1" xfId="0" applyFont="1" applyBorder="1" applyAlignment="1">
      <alignment horizontal="right" vertical="top" wrapText="1"/>
    </xf>
    <xf numFmtId="0" fontId="3" fillId="0" borderId="1" xfId="0" applyFont="1" applyBorder="1" applyAlignment="1">
      <alignment horizontal="right" vertical="top"/>
    </xf>
    <xf numFmtId="0" fontId="4" fillId="0" borderId="0" xfId="0" applyFont="1" applyFill="1" applyBorder="1" applyAlignment="1" applyProtection="1">
      <alignment horizontal="center" wrapText="1"/>
      <protection locked="0"/>
    </xf>
    <xf numFmtId="44" fontId="0" fillId="4" borderId="3" xfId="1" applyFont="1" applyFill="1" applyBorder="1" applyProtection="1">
      <protection locked="0"/>
    </xf>
    <xf numFmtId="44" fontId="0" fillId="2" borderId="11" xfId="1" applyFont="1" applyFill="1" applyBorder="1" applyProtection="1">
      <protection locked="0"/>
    </xf>
    <xf numFmtId="44" fontId="10" fillId="0" borderId="7" xfId="1" applyFont="1" applyBorder="1"/>
    <xf numFmtId="0" fontId="10" fillId="0" borderId="7" xfId="0" applyFont="1" applyBorder="1"/>
    <xf numFmtId="0" fontId="0" fillId="0" borderId="0" xfId="0" applyFill="1"/>
    <xf numFmtId="0" fontId="0" fillId="3" borderId="3" xfId="0" applyFill="1" applyBorder="1"/>
    <xf numFmtId="44" fontId="0" fillId="3" borderId="3" xfId="1" applyFont="1" applyFill="1" applyBorder="1"/>
    <xf numFmtId="0" fontId="4" fillId="0" borderId="0" xfId="0" applyFont="1" applyBorder="1" applyAlignment="1">
      <alignment horizontal="left" wrapText="1" indent="1"/>
    </xf>
    <xf numFmtId="0" fontId="0" fillId="3" borderId="0" xfId="0" applyFill="1" applyBorder="1"/>
    <xf numFmtId="44" fontId="0" fillId="3" borderId="0" xfId="1" applyFont="1" applyFill="1" applyBorder="1"/>
    <xf numFmtId="0" fontId="0" fillId="2" borderId="4" xfId="0" applyFill="1" applyBorder="1" applyProtection="1">
      <protection locked="0"/>
    </xf>
    <xf numFmtId="0" fontId="0" fillId="0" borderId="3" xfId="0" applyFill="1" applyBorder="1"/>
    <xf numFmtId="44" fontId="0" fillId="0" borderId="3" xfId="1" applyFont="1" applyFill="1" applyBorder="1"/>
    <xf numFmtId="44" fontId="0" fillId="3" borderId="3" xfId="1" applyFont="1" applyFill="1" applyBorder="1" applyProtection="1">
      <protection locked="0"/>
    </xf>
    <xf numFmtId="0" fontId="0" fillId="0" borderId="0" xfId="0" applyFont="1"/>
    <xf numFmtId="0" fontId="0" fillId="0" borderId="0" xfId="0" applyBorder="1"/>
    <xf numFmtId="44" fontId="0" fillId="0" borderId="0" xfId="1" applyFont="1" applyBorder="1"/>
    <xf numFmtId="0" fontId="0" fillId="0" borderId="0" xfId="0" applyFill="1" applyBorder="1" applyAlignment="1">
      <alignment horizontal="left"/>
    </xf>
    <xf numFmtId="0" fontId="0" fillId="0" borderId="0" xfId="0" applyFill="1" applyBorder="1"/>
    <xf numFmtId="44" fontId="0" fillId="0" borderId="0" xfId="1" applyFont="1" applyFill="1" applyBorder="1"/>
    <xf numFmtId="0" fontId="2" fillId="0" borderId="0" xfId="0" applyFont="1" applyAlignment="1">
      <alignment horizontal="right"/>
    </xf>
    <xf numFmtId="0" fontId="0" fillId="0" borderId="0" xfId="0" applyAlignment="1">
      <alignment horizontal="left" indent="2"/>
    </xf>
    <xf numFmtId="0" fontId="2" fillId="0" borderId="1" xfId="0" applyFont="1" applyBorder="1"/>
    <xf numFmtId="44" fontId="2" fillId="0" borderId="1" xfId="1" applyFont="1" applyBorder="1"/>
    <xf numFmtId="0" fontId="14" fillId="0" borderId="0" xfId="0" applyFont="1" applyAlignment="1">
      <alignment horizontal="left" vertical="top" indent="3"/>
    </xf>
    <xf numFmtId="0" fontId="13" fillId="0" borderId="0" xfId="2" applyAlignment="1" applyProtection="1">
      <alignment horizontal="left" indent="5"/>
      <protection locked="0"/>
    </xf>
    <xf numFmtId="0" fontId="0" fillId="0" borderId="0" xfId="0" applyProtection="1">
      <protection locked="0"/>
    </xf>
    <xf numFmtId="0" fontId="0" fillId="0" borderId="0" xfId="0" applyProtection="1"/>
    <xf numFmtId="0" fontId="4" fillId="2" borderId="4" xfId="0" applyFont="1" applyFill="1" applyBorder="1" applyAlignment="1" applyProtection="1">
      <alignment wrapText="1"/>
      <protection locked="0"/>
    </xf>
    <xf numFmtId="44" fontId="2" fillId="0" borderId="0" xfId="1" applyFont="1" applyAlignment="1">
      <alignment horizontal="center"/>
    </xf>
    <xf numFmtId="0" fontId="0" fillId="2" borderId="5" xfId="0" applyFill="1" applyBorder="1" applyProtection="1">
      <protection locked="0"/>
    </xf>
    <xf numFmtId="0" fontId="11" fillId="0" borderId="0" xfId="0" applyFont="1" applyBorder="1" applyAlignment="1">
      <alignment horizontal="left" vertical="center" wrapText="1" indent="1"/>
    </xf>
    <xf numFmtId="0" fontId="0" fillId="0" borderId="0" xfId="0" applyAlignment="1">
      <alignment horizontal="left"/>
    </xf>
    <xf numFmtId="0" fontId="5" fillId="0" borderId="0" xfId="0" applyFont="1" applyAlignment="1">
      <alignment horizontal="right" vertical="top"/>
    </xf>
    <xf numFmtId="0" fontId="5" fillId="0" borderId="0" xfId="0" applyFont="1" applyAlignment="1">
      <alignment horizontal="right"/>
    </xf>
    <xf numFmtId="0" fontId="0" fillId="0" borderId="0" xfId="0" applyAlignment="1"/>
    <xf numFmtId="0" fontId="0" fillId="0" borderId="0" xfId="0" applyAlignment="1">
      <alignment wrapText="1"/>
    </xf>
    <xf numFmtId="0" fontId="5" fillId="0" borderId="0" xfId="0" applyFont="1"/>
    <xf numFmtId="44" fontId="0" fillId="2" borderId="14" xfId="1" applyFont="1" applyFill="1" applyBorder="1" applyProtection="1">
      <protection locked="0"/>
    </xf>
    <xf numFmtId="0" fontId="15" fillId="0" borderId="0" xfId="0" applyFont="1" applyBorder="1" applyAlignment="1">
      <alignment horizontal="left" vertical="top" indent="1"/>
    </xf>
    <xf numFmtId="0" fontId="4" fillId="2" borderId="6" xfId="0" applyFont="1" applyFill="1" applyBorder="1" applyAlignment="1" applyProtection="1">
      <alignment horizontal="center" wrapText="1"/>
      <protection locked="0"/>
    </xf>
    <xf numFmtId="0" fontId="11" fillId="2" borderId="6" xfId="0" applyFont="1" applyFill="1" applyBorder="1" applyAlignment="1" applyProtection="1">
      <alignment horizontal="center" vertical="center"/>
      <protection locked="0"/>
    </xf>
    <xf numFmtId="44" fontId="0" fillId="2" borderId="6" xfId="1" applyFont="1"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44" fontId="2" fillId="0" borderId="17" xfId="1" applyFont="1" applyBorder="1" applyAlignment="1">
      <alignment horizontal="center"/>
    </xf>
    <xf numFmtId="0" fontId="0" fillId="0" borderId="3" xfId="0" applyFill="1" applyBorder="1" applyAlignment="1">
      <alignment horizontal="left"/>
    </xf>
    <xf numFmtId="0" fontId="0" fillId="0" borderId="0" xfId="0" applyAlignment="1">
      <alignment horizontal="left"/>
    </xf>
    <xf numFmtId="0" fontId="0" fillId="0" borderId="1" xfId="0" applyBorder="1" applyAlignment="1">
      <alignment horizontal="center"/>
    </xf>
    <xf numFmtId="0" fontId="3" fillId="0" borderId="3" xfId="0" applyFont="1" applyBorder="1" applyAlignment="1">
      <alignment horizontal="right" wrapText="1"/>
    </xf>
    <xf numFmtId="0" fontId="3" fillId="0" borderId="3" xfId="0" applyFont="1" applyBorder="1" applyAlignment="1">
      <alignment horizontal="right"/>
    </xf>
    <xf numFmtId="0" fontId="11" fillId="0" borderId="0" xfId="0" applyFont="1" applyBorder="1" applyAlignment="1">
      <alignment horizontal="left" vertical="center" wrapText="1"/>
    </xf>
    <xf numFmtId="0" fontId="3" fillId="0" borderId="0" xfId="0" applyFont="1" applyAlignment="1">
      <alignment horizontal="right" vertical="top" wrapText="1"/>
    </xf>
    <xf numFmtId="0" fontId="3" fillId="0" borderId="0" xfId="0" applyFont="1" applyAlignment="1">
      <alignment horizontal="right" vertical="top"/>
    </xf>
    <xf numFmtId="0" fontId="0" fillId="3" borderId="0" xfId="0" applyFill="1" applyAlignment="1">
      <alignment horizontal="center"/>
    </xf>
    <xf numFmtId="0" fontId="13" fillId="3" borderId="0" xfId="2" applyFill="1" applyBorder="1" applyAlignment="1">
      <alignment horizontal="left"/>
    </xf>
    <xf numFmtId="0" fontId="13" fillId="3" borderId="12" xfId="2" applyFill="1" applyBorder="1" applyAlignment="1">
      <alignment horizontal="left"/>
    </xf>
    <xf numFmtId="0" fontId="13" fillId="0" borderId="3" xfId="2" applyFill="1" applyBorder="1" applyAlignment="1">
      <alignment horizontal="left"/>
    </xf>
    <xf numFmtId="0" fontId="13" fillId="0" borderId="13" xfId="2" applyFill="1" applyBorder="1" applyAlignment="1">
      <alignment horizontal="left"/>
    </xf>
    <xf numFmtId="0" fontId="0" fillId="0" borderId="0" xfId="0" applyAlignment="1">
      <alignment horizontal="left"/>
    </xf>
    <xf numFmtId="0" fontId="0" fillId="3" borderId="3" xfId="0" applyFill="1" applyBorder="1" applyAlignment="1">
      <alignment horizontal="left"/>
    </xf>
    <xf numFmtId="0" fontId="0" fillId="0" borderId="0" xfId="0" applyAlignment="1">
      <alignment horizontal="left" wrapText="1"/>
    </xf>
    <xf numFmtId="0" fontId="0" fillId="2" borderId="16" xfId="0" applyFill="1" applyBorder="1" applyAlignment="1" applyProtection="1">
      <alignment horizontal="center"/>
      <protection locked="0"/>
    </xf>
    <xf numFmtId="0" fontId="0" fillId="2" borderId="18"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3" xfId="0" applyBorder="1" applyAlignment="1">
      <alignment horizontal="left"/>
    </xf>
    <xf numFmtId="0" fontId="4" fillId="2" borderId="8"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9" xfId="0" applyFont="1" applyFill="1" applyBorder="1" applyAlignment="1" applyProtection="1">
      <alignment horizontal="center"/>
      <protection locked="0"/>
    </xf>
    <xf numFmtId="0" fontId="4" fillId="2" borderId="8" xfId="0" applyFont="1" applyFill="1" applyBorder="1" applyAlignment="1" applyProtection="1">
      <alignment horizontal="center" wrapText="1"/>
      <protection locked="0"/>
    </xf>
    <xf numFmtId="0" fontId="4" fillId="2" borderId="10" xfId="0" applyFont="1" applyFill="1" applyBorder="1" applyAlignment="1" applyProtection="1">
      <alignment horizontal="center" wrapText="1"/>
      <protection locked="0"/>
    </xf>
    <xf numFmtId="0" fontId="4" fillId="2" borderId="9" xfId="0" applyFont="1" applyFill="1" applyBorder="1" applyAlignment="1" applyProtection="1">
      <alignment horizontal="center" wrapText="1"/>
      <protection locked="0"/>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9800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1209675</xdr:colOff>
      <xdr:row>1</xdr:row>
      <xdr:rowOff>489762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1</xdr:row>
      <xdr:rowOff>0</xdr:rowOff>
    </xdr:from>
    <xdr:ext cx="1209675" cy="489762"/>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90500"/>
          <a:ext cx="1209675" cy="489762"/>
        </a:xfrm>
        <a:prstGeom prst="rect">
          <a:avLst/>
        </a:prstGeom>
      </xdr:spPr>
    </xdr:pic>
    <xdr:clientData/>
  </xdr:oneCellAnchor>
  <xdr:oneCellAnchor>
    <xdr:from>
      <xdr:col>1</xdr:col>
      <xdr:colOff>0</xdr:colOff>
      <xdr:row>1</xdr:row>
      <xdr:rowOff>0</xdr:rowOff>
    </xdr:from>
    <xdr:ext cx="1209675" cy="489762"/>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90500"/>
          <a:ext cx="1209675" cy="48976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1</xdr:row>
      <xdr:rowOff>0</xdr:rowOff>
    </xdr:from>
    <xdr:ext cx="1209675" cy="489762"/>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oneCellAnchor>
  <xdr:oneCellAnchor>
    <xdr:from>
      <xdr:col>1</xdr:col>
      <xdr:colOff>0</xdr:colOff>
      <xdr:row>1</xdr:row>
      <xdr:rowOff>0</xdr:rowOff>
    </xdr:from>
    <xdr:ext cx="1209675" cy="489762"/>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0</xdr:colOff>
      <xdr:row>1</xdr:row>
      <xdr:rowOff>489762</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0</xdr:colOff>
      <xdr:row>1</xdr:row>
      <xdr:rowOff>489762</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219075"/>
          <a:ext cx="1209675" cy="4897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du.edu/health-and-counseling-center/coveragecosts/ship.html" TargetMode="External"/><Relationship Id="rId1" Type="http://schemas.openxmlformats.org/officeDocument/2006/relationships/hyperlink" Target="https://www.du.edu/health-and-counseling-center/coveragecosts/fees.html"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8"/>
  <sheetViews>
    <sheetView showGridLines="0" tabSelected="1" showRuler="0" zoomScaleNormal="100" workbookViewId="0"/>
  </sheetViews>
  <sheetFormatPr defaultColWidth="8.85546875" defaultRowHeight="15" x14ac:dyDescent="0.25"/>
  <cols>
    <col min="1" max="1" width="4.140625" customWidth="1"/>
    <col min="2" max="2" width="74.85546875" customWidth="1"/>
    <col min="3" max="3" width="12.85546875" style="5" customWidth="1"/>
    <col min="4" max="4" width="26.42578125" customWidth="1"/>
  </cols>
  <sheetData>
    <row r="1" spans="1:4" ht="17.25" customHeight="1" x14ac:dyDescent="0.25">
      <c r="A1" s="51"/>
    </row>
    <row r="2" spans="1:4" ht="47.25" customHeight="1" x14ac:dyDescent="0.35">
      <c r="B2" s="73" t="s">
        <v>66</v>
      </c>
      <c r="C2" s="74"/>
      <c r="D2" s="74"/>
    </row>
    <row r="3" spans="1:4" ht="8.25" customHeight="1" x14ac:dyDescent="0.25">
      <c r="B3" s="21"/>
      <c r="C3" s="23"/>
      <c r="D3" s="23"/>
    </row>
    <row r="4" spans="1:4" ht="66.75" customHeight="1" x14ac:dyDescent="0.25">
      <c r="B4" s="75" t="s">
        <v>67</v>
      </c>
      <c r="C4" s="75"/>
      <c r="D4" s="75"/>
    </row>
    <row r="5" spans="1:4" ht="21.75" customHeight="1" x14ac:dyDescent="0.25">
      <c r="C5"/>
    </row>
    <row r="6" spans="1:4" ht="27" customHeight="1" x14ac:dyDescent="0.25">
      <c r="B6" s="49" t="s">
        <v>56</v>
      </c>
      <c r="C6"/>
    </row>
    <row r="7" spans="1:4" x14ac:dyDescent="0.25">
      <c r="B7" s="50" t="s">
        <v>61</v>
      </c>
    </row>
    <row r="8" spans="1:4" x14ac:dyDescent="0.25">
      <c r="B8" s="50" t="s">
        <v>62</v>
      </c>
    </row>
    <row r="9" spans="1:4" x14ac:dyDescent="0.25">
      <c r="B9" s="50" t="s">
        <v>54</v>
      </c>
    </row>
    <row r="10" spans="1:4" x14ac:dyDescent="0.25">
      <c r="B10" s="50" t="s">
        <v>55</v>
      </c>
    </row>
    <row r="11" spans="1:4" x14ac:dyDescent="0.25">
      <c r="B11" s="50"/>
    </row>
    <row r="12" spans="1:4" x14ac:dyDescent="0.25">
      <c r="B12" s="50"/>
    </row>
    <row r="13" spans="1:4" x14ac:dyDescent="0.25">
      <c r="B13" s="50"/>
    </row>
    <row r="14" spans="1:4" x14ac:dyDescent="0.25">
      <c r="B14" s="50"/>
    </row>
    <row r="15" spans="1:4" x14ac:dyDescent="0.25">
      <c r="B15" s="52"/>
    </row>
    <row r="18" spans="2:4" x14ac:dyDescent="0.25">
      <c r="B18" s="72" t="s">
        <v>14</v>
      </c>
      <c r="C18" s="72"/>
      <c r="D18" s="72"/>
    </row>
  </sheetData>
  <sheetProtection algorithmName="SHA-512" hashValue="q5jxMa615lr9tGreRmnCK+k5GXbbL7xCEqxFPiMmEj5c0YC4HAvUHD6dARTVQvRu/mZL/SXt7u+WehnQsatmGQ==" saltValue="Cg2EE0cO3q3wRcV1cuKJ+A==" spinCount="100000" sheet="1" objects="1" scenarios="1" selectLockedCells="1"/>
  <mergeCells count="3">
    <mergeCell ref="B18:D18"/>
    <mergeCell ref="B2:D2"/>
    <mergeCell ref="B4:D4"/>
  </mergeCells>
  <hyperlinks>
    <hyperlink ref="B9" location="'West. CO &amp; 4 Corners'!A1" display="Western Colorado or Four Corners Program" xr:uid="{00000000-0004-0000-0000-000000000000}"/>
    <hyperlink ref="B10" location="'MSW@Denver'!A1" display="MSW@Denver Online Program" xr:uid="{00000000-0004-0000-0000-000001000000}"/>
    <hyperlink ref="B7" location="'On-Campus MSW'!A1" display="On-Campus MSW Program" xr:uid="{00000000-0004-0000-0000-000002000000}"/>
    <hyperlink ref="B8" location="'On-Campus PhD'!A1" display="On-Campus PhD Program" xr:uid="{00000000-0004-0000-0000-000003000000}"/>
  </hyperlinks>
  <pageMargins left="0.5" right="0.5" top="0.5" bottom="0.5" header="0.3" footer="0.3"/>
  <pageSetup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O39"/>
  <sheetViews>
    <sheetView showGridLines="0" showRowColHeaders="0" showRuler="0" zoomScaleNormal="100" workbookViewId="0">
      <selection activeCell="G6" sqref="G6:I6"/>
    </sheetView>
  </sheetViews>
  <sheetFormatPr defaultColWidth="8.85546875" defaultRowHeight="15" x14ac:dyDescent="0.25"/>
  <cols>
    <col min="1" max="1" width="4.140625" customWidth="1"/>
    <col min="2" max="2" width="2.140625" customWidth="1"/>
    <col min="5" max="5" width="26.140625" customWidth="1"/>
    <col min="6" max="6" width="11.42578125" bestFit="1" customWidth="1"/>
    <col min="8" max="8" width="14.85546875" style="5" customWidth="1"/>
    <col min="9" max="9" width="4.7109375" customWidth="1"/>
    <col min="10" max="10" width="13.42578125" style="5" customWidth="1"/>
    <col min="11" max="11" width="4.7109375" customWidth="1"/>
    <col min="12" max="12" width="13.42578125" style="5" customWidth="1"/>
    <col min="13" max="13" width="4.7109375" style="5" customWidth="1"/>
    <col min="14" max="14" width="13.42578125" style="5" customWidth="1"/>
    <col min="15" max="15" width="3.42578125" customWidth="1"/>
  </cols>
  <sheetData>
    <row r="1" spans="2:15" ht="17.25" customHeight="1" x14ac:dyDescent="0.25"/>
    <row r="2" spans="2:15" ht="47.25" customHeight="1" x14ac:dyDescent="0.25">
      <c r="H2" s="76" t="s">
        <v>78</v>
      </c>
      <c r="I2" s="77"/>
      <c r="J2" s="77"/>
      <c r="K2" s="77"/>
      <c r="L2" s="77"/>
      <c r="M2" s="77"/>
      <c r="N2" s="77"/>
      <c r="O2" s="77"/>
    </row>
    <row r="3" spans="2:15" ht="8.25" customHeight="1" x14ac:dyDescent="0.25">
      <c r="B3" s="21"/>
      <c r="C3" s="21"/>
      <c r="D3" s="21"/>
      <c r="E3" s="21"/>
      <c r="F3" s="21"/>
      <c r="G3" s="21"/>
      <c r="H3" s="22"/>
      <c r="I3" s="23"/>
      <c r="J3" s="23"/>
      <c r="K3" s="23"/>
      <c r="L3" s="23"/>
      <c r="M3" s="23"/>
      <c r="N3" s="23"/>
      <c r="O3" s="23"/>
    </row>
    <row r="4" spans="2:15" ht="27.75" customHeight="1" x14ac:dyDescent="0.25">
      <c r="B4" s="56"/>
      <c r="C4" s="64" t="s">
        <v>65</v>
      </c>
      <c r="D4" s="56"/>
      <c r="E4" s="56"/>
      <c r="F4" s="56"/>
      <c r="G4" s="56"/>
      <c r="H4" s="56"/>
      <c r="I4" s="56"/>
      <c r="J4" s="56"/>
      <c r="K4" s="56"/>
      <c r="L4" s="56"/>
      <c r="M4" s="56"/>
      <c r="N4" s="56"/>
      <c r="O4" s="56"/>
    </row>
    <row r="5" spans="2:15" ht="13.5" customHeight="1" x14ac:dyDescent="0.25">
      <c r="B5" s="56"/>
      <c r="C5" s="64"/>
      <c r="D5" s="56"/>
      <c r="E5" s="56"/>
      <c r="F5" s="56"/>
      <c r="G5" s="56"/>
      <c r="H5" s="56"/>
      <c r="I5" s="56"/>
      <c r="J5" s="56"/>
      <c r="K5" s="56"/>
      <c r="L5" s="56"/>
      <c r="M5" s="56"/>
      <c r="N5" s="56"/>
      <c r="O5" s="56"/>
    </row>
    <row r="6" spans="2:15" ht="19.5" customHeight="1" x14ac:dyDescent="0.3">
      <c r="D6" s="6" t="s">
        <v>49</v>
      </c>
      <c r="G6" s="86"/>
      <c r="H6" s="87"/>
      <c r="I6" s="88"/>
      <c r="J6" s="54"/>
      <c r="L6" s="54"/>
      <c r="N6" s="54"/>
    </row>
    <row r="7" spans="2:15" ht="19.5" customHeight="1" x14ac:dyDescent="0.25">
      <c r="J7" s="54"/>
      <c r="L7" s="54"/>
      <c r="N7" s="54"/>
    </row>
    <row r="8" spans="2:15" ht="19.5" customHeight="1" x14ac:dyDescent="0.25">
      <c r="J8" s="54" t="s">
        <v>79</v>
      </c>
      <c r="L8" s="54" t="s">
        <v>80</v>
      </c>
      <c r="N8" s="54" t="s">
        <v>81</v>
      </c>
    </row>
    <row r="9" spans="2:15" ht="18" customHeight="1" x14ac:dyDescent="0.3">
      <c r="D9" s="6" t="s">
        <v>15</v>
      </c>
      <c r="E9" s="32"/>
      <c r="F9" s="32"/>
      <c r="G9" s="32"/>
      <c r="H9" s="32"/>
      <c r="I9" s="32"/>
      <c r="J9" s="53"/>
      <c r="L9" s="53"/>
      <c r="M9" s="24"/>
      <c r="N9" s="53"/>
      <c r="O9" s="32"/>
    </row>
    <row r="10" spans="2:15" ht="6" customHeight="1" x14ac:dyDescent="0.25"/>
    <row r="11" spans="2:15" ht="15.75" thickBot="1" x14ac:dyDescent="0.3">
      <c r="B11" s="1" t="s">
        <v>7</v>
      </c>
      <c r="C11" s="1"/>
      <c r="D11" s="2"/>
      <c r="E11" s="2"/>
      <c r="F11" s="2"/>
      <c r="G11" s="2"/>
      <c r="H11" s="4" t="s">
        <v>3</v>
      </c>
      <c r="I11" s="3"/>
      <c r="J11" s="4" t="s">
        <v>82</v>
      </c>
      <c r="K11" s="3"/>
      <c r="L11" s="4" t="s">
        <v>83</v>
      </c>
      <c r="M11" s="4"/>
      <c r="N11" s="4" t="s">
        <v>84</v>
      </c>
      <c r="O11" s="2"/>
    </row>
    <row r="12" spans="2:15" ht="9" customHeight="1" x14ac:dyDescent="0.25"/>
    <row r="13" spans="2:15" ht="21.75" customHeight="1" x14ac:dyDescent="0.25">
      <c r="B13" s="11" t="s">
        <v>1</v>
      </c>
      <c r="C13" s="11"/>
      <c r="D13" s="78"/>
      <c r="E13" s="78"/>
      <c r="F13" s="12"/>
      <c r="G13" s="12"/>
      <c r="H13" s="13" t="e">
        <f>J13+L13+N13</f>
        <v>#N/A</v>
      </c>
      <c r="I13" s="12"/>
      <c r="J13" s="13" t="e">
        <f>IF(G6="2020 Summer Quarter or Later",(VLOOKUP(J9,Data!F2:G21,2,FALSE)),(VLOOKUP(J9,Data!A2:B21,2,FALSE)))</f>
        <v>#N/A</v>
      </c>
      <c r="K13" s="12"/>
      <c r="L13" s="13" t="e">
        <f>IF(G6="2020 Summer Quarter or Later",(VLOOKUP(L9,Data!F2:G21,2,FALSE)),(VLOOKUP(L9,Data!A2:B21,2,FALSE)))</f>
        <v>#N/A</v>
      </c>
      <c r="M13" s="13"/>
      <c r="N13" s="13" t="e">
        <f>IF(G6="2020 Summer Quarter or Later",(VLOOKUP(N9,Data!F2:G21,2,FALSE)),(VLOOKUP(N9,Data!A2:B21,2,FALSE)))</f>
        <v>#N/A</v>
      </c>
      <c r="O13" s="12"/>
    </row>
    <row r="14" spans="2:15" ht="21.75" customHeight="1" x14ac:dyDescent="0.25">
      <c r="B14" s="57" t="s">
        <v>0</v>
      </c>
      <c r="C14" s="57"/>
    </row>
    <row r="15" spans="2:15" ht="21.75" customHeight="1" x14ac:dyDescent="0.25">
      <c r="B15" s="14" t="s">
        <v>2</v>
      </c>
      <c r="C15" s="14"/>
      <c r="D15" s="12"/>
      <c r="E15" s="12"/>
      <c r="F15" s="12"/>
      <c r="G15" s="12"/>
      <c r="H15" s="13" t="e">
        <f>J15+L15+N15</f>
        <v>#N/A</v>
      </c>
      <c r="I15" s="12"/>
      <c r="J15" s="13" t="e">
        <f>IF(G6="2020 Summer Quarter or Later",(VLOOKUP(J9,Data!F2:H21,3,FALSE)),(VLOOKUP(J9,Data!A2:C21,3,FALSE)))</f>
        <v>#N/A</v>
      </c>
      <c r="K15" s="12"/>
      <c r="L15" s="13" t="e">
        <f>IF(G6="2020 Summer Quarter or Later",(VLOOKUP(L9,Data!F2:H21,3,FALSE)),(VLOOKUP(L9,Data!A2:C21,3,FALSE)))</f>
        <v>#N/A</v>
      </c>
      <c r="M15" s="13"/>
      <c r="N15" s="13" t="e">
        <f>IF(G6="2020 Summer Quarter or Later",(VLOOKUP(N9,Data!F2:H21,3,FALSE)),(VLOOKUP(N9,Data!A2:C21,3,FALSE)))</f>
        <v>#N/A</v>
      </c>
      <c r="O15" s="12"/>
    </row>
    <row r="16" spans="2:15" ht="21.75" customHeight="1" x14ac:dyDescent="0.25">
      <c r="B16" s="46" t="s">
        <v>17</v>
      </c>
      <c r="C16" s="46"/>
      <c r="H16" s="5" t="e">
        <f>J16+L16+N16</f>
        <v>#N/A</v>
      </c>
      <c r="J16" s="5" t="e">
        <f>IF(J9&lt;&gt;"not enrolled",(VLOOKUP(J9,Data!A2:D21,4,FALSE)),0)</f>
        <v>#N/A</v>
      </c>
      <c r="L16" s="5" t="e">
        <f>IF(L9&lt;&gt;"not enrolled",(VLOOKUP(L9,Data!A2:D21,4,FALSE)),0)</f>
        <v>#N/A</v>
      </c>
      <c r="N16" s="5" t="e">
        <f>IF(N9&lt;&gt;"not enrolled",(VLOOKUP(N9,Data!A2:D21,4,FALSE)),0)</f>
        <v>#N/A</v>
      </c>
    </row>
    <row r="17" spans="2:15" ht="21.75" customHeight="1" x14ac:dyDescent="0.25">
      <c r="B17" s="79" t="s">
        <v>47</v>
      </c>
      <c r="C17" s="79"/>
      <c r="D17" s="79"/>
      <c r="E17" s="80"/>
      <c r="F17" s="35"/>
      <c r="G17" s="33"/>
      <c r="H17" s="34">
        <f>J17+L17+N17</f>
        <v>0</v>
      </c>
      <c r="I17" s="33"/>
      <c r="J17" s="34">
        <f>IF(AND(F17="Yes", J9&lt;&gt;"not enrolled"), (VLOOKUP(F17, Data!A24:C25, 2, FALSE)), 0)</f>
        <v>0</v>
      </c>
      <c r="K17" s="33"/>
      <c r="L17" s="34">
        <v>0</v>
      </c>
      <c r="M17" s="34"/>
      <c r="N17" s="34">
        <f>IF(AND(F17="Yes", N9&lt;&gt;"not enrolled"), (VLOOKUP(F17, Data!A24:C25, 2, FALSE)), 0)</f>
        <v>0</v>
      </c>
      <c r="O17" s="33"/>
    </row>
    <row r="18" spans="2:15" s="29" customFormat="1" ht="21.75" customHeight="1" x14ac:dyDescent="0.25">
      <c r="B18" s="81" t="s">
        <v>46</v>
      </c>
      <c r="C18" s="81"/>
      <c r="D18" s="81"/>
      <c r="E18" s="82"/>
      <c r="F18" s="55"/>
      <c r="G18" s="36"/>
      <c r="H18" s="37">
        <f>J18+L18+N18</f>
        <v>0</v>
      </c>
      <c r="I18" s="36"/>
      <c r="J18" s="37">
        <f>IF(AND(F18="Yes", J9&lt;&gt;"not enrolled",J9&lt;&gt;"4 credits",J9&lt;&gt;"5 credits"), (VLOOKUP(F18,Data!A24:C25, 3, FALSE)), 0)</f>
        <v>0</v>
      </c>
      <c r="K18" s="36"/>
      <c r="L18" s="37">
        <f>IF(AND(F18="Yes", L9&lt;&gt;"not enrolled",L9&lt;&gt;"4 credits",L9&lt;&gt;"5 credits"), (VLOOKUP(F18, Data!A24:C25, 3, FALSE)), 0)</f>
        <v>0</v>
      </c>
      <c r="M18" s="37"/>
      <c r="N18" s="37">
        <f>IF(AND(F18="Yes", N9&lt;&gt;"not enrolled",N9&lt;&gt;"4 credits",N9&lt;&gt;"5 credits"), (VLOOKUP(F18, Data!A24:C25, 3, FALSE)), 0)</f>
        <v>0</v>
      </c>
      <c r="O18" s="36"/>
    </row>
    <row r="19" spans="2:15" ht="21.75" customHeight="1" x14ac:dyDescent="0.25">
      <c r="D19" s="9" t="s">
        <v>6</v>
      </c>
      <c r="H19" s="10" t="e">
        <f>SUM(H13, H15:H18)</f>
        <v>#N/A</v>
      </c>
      <c r="J19" s="10" t="e">
        <f>SUM(J13,J15:J18)</f>
        <v>#N/A</v>
      </c>
      <c r="L19" s="10" t="e">
        <f>SUM(L13,L15:L18)</f>
        <v>#N/A</v>
      </c>
      <c r="M19" s="10"/>
      <c r="N19" s="10" t="e">
        <f>SUM(N13,N15:N18)</f>
        <v>#N/A</v>
      </c>
    </row>
    <row r="20" spans="2:15" ht="24" customHeight="1" x14ac:dyDescent="0.25"/>
    <row r="21" spans="2:15" ht="15.75" thickBot="1" x14ac:dyDescent="0.3">
      <c r="B21" s="1" t="s">
        <v>11</v>
      </c>
      <c r="C21" s="1"/>
      <c r="D21" s="2"/>
      <c r="E21" s="2"/>
      <c r="F21" s="2"/>
      <c r="G21" s="2"/>
      <c r="H21" s="4" t="s">
        <v>3</v>
      </c>
      <c r="I21" s="3"/>
      <c r="J21" s="4" t="s">
        <v>82</v>
      </c>
      <c r="K21" s="3"/>
      <c r="L21" s="4" t="s">
        <v>83</v>
      </c>
      <c r="M21" s="4"/>
      <c r="N21" s="4" t="s">
        <v>84</v>
      </c>
      <c r="O21" s="2"/>
    </row>
    <row r="22" spans="2:15" ht="21.75" customHeight="1" x14ac:dyDescent="0.25">
      <c r="B22" t="s">
        <v>16</v>
      </c>
      <c r="H22" s="17"/>
      <c r="J22" s="5">
        <f>IF((AND(J9&lt;&gt;"not enrolled", L9&lt;&gt;"not enrolled", N9&lt;&gt;"not enrolled")), (H22/3), IF((AND(J9&lt;&gt;"not enrolled", L9&lt;&gt;"not enrolled", N9="not enrolled")), (H22/2), IF((AND(J9&lt;&gt;"not enrolled", L9="not enrolled", N9="not enrolled")), (H22/1), 0)))</f>
        <v>0</v>
      </c>
      <c r="L22" s="5">
        <f>IF((AND(J9&lt;&gt;"not enrolled", L9&lt;&gt;"not enrolled", N9&lt;&gt;"not enrolled")), (H22/3), IF((AND(J9&lt;&gt;"not enrolled", L9&lt;&gt;"not enrolled", N9="not enrolled")), (H22/2), IF((AND(J9="not enrolled", L9&lt;&gt;"not enrolled", N9&lt;&gt;"not enrolled")), (H22/2), 0)))</f>
        <v>0</v>
      </c>
      <c r="N22" s="5">
        <f>IF((AND(J9&lt;&gt;"not enrolled", L9&lt;&gt;"not enrolled", N9&lt;&gt;"not enrolled")), (H22/3), IF((AND(J9="not enrolled", L9&lt;&gt;"not enrolled", N9&lt;&gt;"not enrolled")), (H22/2), IF((AND(J9="not enrolled", L9="not enrolled", N9&lt;&gt;"not enrolled")), (H22), 0)))</f>
        <v>0</v>
      </c>
    </row>
    <row r="23" spans="2:15" ht="21.75" customHeight="1" x14ac:dyDescent="0.25">
      <c r="B23" s="12" t="s">
        <v>8</v>
      </c>
      <c r="C23" s="12"/>
      <c r="D23" s="12"/>
      <c r="E23" s="12"/>
      <c r="F23" s="12"/>
      <c r="G23" s="12"/>
      <c r="H23" s="18"/>
      <c r="I23" s="12"/>
      <c r="J23" s="13">
        <f>IF((AND(J9&lt;&gt;"not enrolled", L9&lt;&gt;"not enrolled", N9&lt;&gt;"not enrolled")), (H23/3), IF((AND(J9&lt;&gt;"not enrolled", L9&lt;&gt;"not enrolled", N9="not enrolled")), (H23/2), IF((AND(J9&lt;&gt;"not enrolled", L9="not enrolled", N9="not enrolled")), (H23/1), 0)))</f>
        <v>0</v>
      </c>
      <c r="K23" s="12"/>
      <c r="L23" s="13">
        <f>IF((AND(J9&lt;&gt;"not enrolled", L9&lt;&gt;"not enrolled", N9&lt;&gt;"not enrolled")), (H23/3), IF((AND(J9&lt;&gt;"not enrolled", L9&lt;&gt;"not enrolled", N9="not enrolled")), (H23/2), IF((AND(J9="not enrolled", L9&lt;&gt;"not enrolled", N9&lt;&gt;"not enrolled")), (H23/2), 0)))</f>
        <v>0</v>
      </c>
      <c r="M23" s="13"/>
      <c r="N23" s="13">
        <f>IF((AND(J9&lt;&gt;"not enrolled", L9&lt;&gt;"not enrolled", N9&lt;&gt;"not enrolled")), (H23/3), IF((AND(J9="not enrolled", L9&lt;&gt;"not enrolled", N9&lt;&gt;"not enrolled")), (H23/2), IF((AND(J9="not enrolled", L9="not enrolled", N9&lt;&gt;"not enrolled")), (H23), 0)))</f>
        <v>0</v>
      </c>
      <c r="O23" s="12"/>
    </row>
    <row r="24" spans="2:15" ht="21.75" customHeight="1" x14ac:dyDescent="0.25">
      <c r="B24" t="s">
        <v>19</v>
      </c>
      <c r="F24" s="19"/>
      <c r="H24" s="5">
        <f>SUM(J24,L24,N24)</f>
        <v>0</v>
      </c>
      <c r="J24" s="5">
        <f>IF((AND(J9&lt;&gt;"not enrolled", L9&lt;&gt;"not enrolled", N9&lt;&gt;"not enrolled")), ROUND(((F24-(F24*0.01057))/3),0), IF((AND(J9&lt;&gt;"not enrolled", L9&lt;&gt;"not enrolled", N9="not enrolled")), ROUND(((F24-(F24*0.01057))/2),0), IF((AND(J9&lt;&gt;"not enrolled", L9="not enrolled", N9="not enrolled")), ROUND(((F24-(F24*0.01057))/1),0), 0)))</f>
        <v>0</v>
      </c>
      <c r="L24" s="5">
        <f>IF((AND(J9&lt;&gt;"not enrolled", L9&lt;&gt;"not enrolled", N9&lt;&gt;"not enrolled")), ROUND(((F24-(F24*0.01057))/3),0), IF((AND(J9&lt;&gt;"not enrolled", L9&lt;&gt;"not enrolled", N9="not enrolled")), ROUND(((F24-(F24*0.01057))/2),0), IF((AND(J9="not enrolled", L9&lt;&gt;"not enrolled", N9&lt;&gt;"not enrolled")), ROUND(((F24-(F24*0.01057))/2),0), 0)))</f>
        <v>0</v>
      </c>
      <c r="N24" s="5">
        <f>IF((AND(J9&lt;&gt;"not enrolled", L9&lt;&gt;"not enrolled", N9&lt;&gt;"not enrolled")), ROUND(((F24-(F24*0.01057))/3),0), IF((AND(J9="not enrolled", L9&lt;&gt;"not enrolled", N9&lt;&gt;"not enrolled")), ROUND(((F24-(F24*0.01057))/2),0), IF((AND(J9="not enrolled", L9="not enrolled", N9&lt;&gt;"not enrolled")), ROUND(((F24-(F24*0.01057))/1),0), 0)))</f>
        <v>0</v>
      </c>
    </row>
    <row r="25" spans="2:15" ht="21.75" customHeight="1" x14ac:dyDescent="0.25">
      <c r="B25" s="12" t="s">
        <v>20</v>
      </c>
      <c r="C25" s="12"/>
      <c r="D25" s="12"/>
      <c r="E25" s="12"/>
      <c r="F25" s="19"/>
      <c r="G25" s="12"/>
      <c r="H25" s="13">
        <f>SUM(J25,L25,N25)</f>
        <v>0</v>
      </c>
      <c r="I25" s="12"/>
      <c r="J25" s="13">
        <f>IF((AND(J9&lt;&gt;"not enrolled", L9&lt;&gt;"not enrolled", N9&lt;&gt;"not enrolled")), ROUND(((F25-(F25*0.04228))/3),0), IF((AND(J9&lt;&gt;"not enrolled", L9&lt;&gt;"not enrolled", N9="not enrolled")), ROUND(((F25-(F25*0.04228))/2),0), IF((AND(J9&lt;&gt;"not enrolled", L9="not enrolled", N9="not enrolled")), ROUND(((F25-(F25*0.04228))/1),0), 0)))</f>
        <v>0</v>
      </c>
      <c r="K25" s="12"/>
      <c r="L25" s="13">
        <f>IF((AND(J9&lt;&gt;"not enrolled", L9&lt;&gt;"not enrolled", N9&lt;&gt;"not enrolled")), ROUND(((F25-(F25*0.04228))/3),0), IF((AND(J9&lt;&gt;"not enrolled", L9&lt;&gt;"not enrolled", N9="not enrolled")), ROUND(((F25-(F25*0.04228))/2),0), IF((AND(J9="not enrolled", L9&lt;&gt;"not enrolled", N9&lt;&gt;"not enrolled")), ROUND(((F25-(F25*0.04228))/2),0), 0)))</f>
        <v>0</v>
      </c>
      <c r="M25" s="13"/>
      <c r="N25" s="13">
        <f>IF((AND(J9&lt;&gt;"not enrolled", L9&lt;&gt;"not enrolled", N9&lt;&gt;"not enrolled")), ROUND(((F25-(F25*0.04228))/3),0), IF((AND(J9="not enrolled", L9&lt;&gt;"not enrolled", N9&lt;&gt;"not enrolled")), ROUND(((F25-(F25*0.04228))/2),0), IF((AND(J9="not enrolled", L9="not enrolled", N9&lt;&gt;"not enrolled")), ROUND(((F25-(F25*0.04228))/1),0), 0)))</f>
        <v>0</v>
      </c>
      <c r="O25" s="12"/>
    </row>
    <row r="26" spans="2:15" ht="21.75" customHeight="1" x14ac:dyDescent="0.25">
      <c r="B26" s="83" t="s">
        <v>22</v>
      </c>
      <c r="C26" s="83"/>
      <c r="D26" s="83"/>
      <c r="E26" s="83"/>
      <c r="F26" s="83"/>
      <c r="H26" s="18"/>
      <c r="J26" s="5">
        <f>IF((AND(J9&lt;&gt;"not enrolled", L9&lt;&gt;"not enrolled", N9&lt;&gt;"not enrolled")), (H26/3), IF((AND(J9&lt;&gt;"not enrolled", L9&lt;&gt;"not enrolled", N9="not enrolled")), (H26/2), IF((AND(J9&lt;&gt;"not enrolled", L9="not enrolled", N9="not enrolled")), (H26/1), 0)))</f>
        <v>0</v>
      </c>
      <c r="L26" s="5">
        <f>IF((AND(J9&lt;&gt;"not enrolled", L9&lt;&gt;"not enrolled", N9&lt;&gt;"not enrolled")), (H26/3), IF((AND(J9&lt;&gt;"not enrolled", L9&lt;&gt;"not enrolled", N9="not enrolled")), (H26/2), IF((AND(J9="not enrolled", L9&lt;&gt;"not enrolled", N9&lt;&gt;"not enrolled")), (H26/2), 0)))</f>
        <v>0</v>
      </c>
      <c r="N26" s="5">
        <f>IF((AND(J9&lt;&gt;"not enrolled", L9&lt;&gt;"not enrolled", N9&lt;&gt;"not enrolled")), (H26/3), IF((AND(J9="not enrolled", L9&lt;&gt;"not enrolled", N9&lt;&gt;"not enrolled")), (H26/2), IF((AND(J9="not enrolled", L9="not enrolled", N9&lt;&gt;"not enrolled")), (H26), 0)))</f>
        <v>0</v>
      </c>
    </row>
    <row r="27" spans="2:15" ht="21.75" customHeight="1" x14ac:dyDescent="0.25">
      <c r="B27" s="84" t="s">
        <v>23</v>
      </c>
      <c r="C27" s="84"/>
      <c r="D27" s="84"/>
      <c r="E27" s="84"/>
      <c r="F27" s="84"/>
      <c r="G27" s="84"/>
      <c r="H27" s="31">
        <f>J27+L27+N27</f>
        <v>0</v>
      </c>
      <c r="I27" s="30"/>
      <c r="J27" s="20"/>
      <c r="K27" s="30"/>
      <c r="L27" s="20"/>
      <c r="M27" s="38"/>
      <c r="N27" s="63"/>
      <c r="O27" s="30"/>
    </row>
    <row r="28" spans="2:15" ht="21.75" customHeight="1" x14ac:dyDescent="0.25">
      <c r="D28" s="9" t="s">
        <v>10</v>
      </c>
      <c r="H28" s="5">
        <f>SUM(H22:H27)</f>
        <v>0</v>
      </c>
      <c r="J28" s="5">
        <f>SUM(J22:J27)</f>
        <v>0</v>
      </c>
      <c r="L28" s="5">
        <f>SUM(L22:L26,L27)</f>
        <v>0</v>
      </c>
      <c r="N28" s="5">
        <f>SUM(N22:N26,N27)</f>
        <v>0</v>
      </c>
    </row>
    <row r="29" spans="2:15" ht="15.75" thickBot="1" x14ac:dyDescent="0.3"/>
    <row r="30" spans="2:15" ht="21.75" customHeight="1" thickTop="1" thickBot="1" x14ac:dyDescent="0.35">
      <c r="B30" s="16" t="s">
        <v>12</v>
      </c>
      <c r="C30" s="16"/>
      <c r="D30" s="15"/>
      <c r="E30" s="15"/>
      <c r="F30" s="15"/>
      <c r="G30" s="15"/>
      <c r="H30" s="27" t="e">
        <f>H19-H28</f>
        <v>#N/A</v>
      </c>
      <c r="I30" s="28"/>
      <c r="J30" s="27" t="e">
        <f>J19-J28</f>
        <v>#N/A</v>
      </c>
      <c r="K30" s="28"/>
      <c r="L30" s="27" t="e">
        <f>L19-L28</f>
        <v>#N/A</v>
      </c>
      <c r="M30" s="27"/>
      <c r="N30" s="27" t="e">
        <f>N19-N28</f>
        <v>#N/A</v>
      </c>
      <c r="O30" s="15"/>
    </row>
    <row r="31" spans="2:15" ht="15.75" thickTop="1" x14ac:dyDescent="0.25"/>
    <row r="32" spans="2:15" x14ac:dyDescent="0.25">
      <c r="B32" s="9" t="s">
        <v>13</v>
      </c>
      <c r="C32" s="9"/>
    </row>
    <row r="33" spans="2:15" ht="21.75" customHeight="1" x14ac:dyDescent="0.25">
      <c r="B33" s="62">
        <v>1</v>
      </c>
      <c r="C33" s="60" t="str">
        <f>IF(G6="2020 Summer Quarter or Later",Data!J2,Data!J3)</f>
        <v>Tuition for the 2022-2023 academic year is $1,535 per credit. If enrolled in 12-18 credits, tuition will be charged a flat rate of $18,420.</v>
      </c>
      <c r="D33" s="61"/>
      <c r="E33" s="61"/>
      <c r="F33" s="61"/>
      <c r="G33" s="61"/>
      <c r="H33" s="61"/>
      <c r="I33" s="61"/>
      <c r="J33" s="61"/>
      <c r="K33" s="61"/>
      <c r="L33" s="61"/>
      <c r="M33" s="61"/>
      <c r="N33" s="61"/>
      <c r="O33" s="61"/>
    </row>
    <row r="34" spans="2:15" ht="18" customHeight="1" x14ac:dyDescent="0.25">
      <c r="B34" s="59">
        <v>2</v>
      </c>
      <c r="C34" s="60" t="s">
        <v>48</v>
      </c>
      <c r="D34" s="60"/>
      <c r="E34" s="60"/>
      <c r="F34" s="60"/>
      <c r="G34" s="60"/>
      <c r="H34" s="60"/>
      <c r="I34" s="60"/>
      <c r="J34" s="60"/>
      <c r="K34" s="60"/>
      <c r="L34" s="60"/>
      <c r="M34" s="60"/>
      <c r="N34" s="60"/>
      <c r="O34" s="60"/>
    </row>
    <row r="35" spans="2:15" ht="18" customHeight="1" x14ac:dyDescent="0.25">
      <c r="B35" s="59">
        <v>3</v>
      </c>
      <c r="C35" t="s">
        <v>57</v>
      </c>
    </row>
    <row r="36" spans="2:15" ht="46.5" customHeight="1" x14ac:dyDescent="0.25">
      <c r="B36" s="58">
        <v>4</v>
      </c>
      <c r="C36" s="85" t="s">
        <v>58</v>
      </c>
      <c r="D36" s="85"/>
      <c r="E36" s="85"/>
      <c r="F36" s="85"/>
      <c r="G36" s="85"/>
      <c r="H36" s="85"/>
      <c r="I36" s="85"/>
      <c r="J36" s="85"/>
      <c r="K36" s="85"/>
      <c r="L36" s="85"/>
      <c r="M36" s="85"/>
      <c r="N36" s="85"/>
      <c r="O36" s="85"/>
    </row>
    <row r="37" spans="2:15" ht="21.75" customHeight="1" x14ac:dyDescent="0.25"/>
    <row r="39" spans="2:15" x14ac:dyDescent="0.25">
      <c r="B39" s="72" t="s">
        <v>14</v>
      </c>
      <c r="C39" s="72"/>
      <c r="D39" s="72"/>
      <c r="E39" s="72"/>
      <c r="F39" s="72"/>
      <c r="G39" s="72"/>
      <c r="H39" s="72"/>
      <c r="I39" s="72"/>
      <c r="J39" s="72"/>
      <c r="K39" s="72"/>
      <c r="L39" s="72"/>
      <c r="M39" s="72"/>
      <c r="N39" s="72"/>
      <c r="O39" s="72"/>
    </row>
  </sheetData>
  <sheetProtection algorithmName="SHA-512" hashValue="NUMZ2Dk1AM/yl3Ou7qHWwUQkPwwaC1z4nfIAIQfq30wPoH8TMkV1WrU9HLnSFynBAHCLQKcQlAIX7KPXhNXciQ==" saltValue="H8QZ8+gCM8b6eVGXrjLHyA==" spinCount="100000" sheet="1" objects="1" scenarios="1" selectLockedCells="1"/>
  <mergeCells count="9">
    <mergeCell ref="H2:O2"/>
    <mergeCell ref="D13:E13"/>
    <mergeCell ref="B39:O39"/>
    <mergeCell ref="B17:E17"/>
    <mergeCell ref="B18:E18"/>
    <mergeCell ref="B26:F26"/>
    <mergeCell ref="B27:G27"/>
    <mergeCell ref="C36:O36"/>
    <mergeCell ref="G6:I6"/>
  </mergeCells>
  <hyperlinks>
    <hyperlink ref="B17" r:id="rId1" display="Will you enroll in DU's health insurance plan?" xr:uid="{00000000-0004-0000-0100-000000000000}"/>
    <hyperlink ref="B18" r:id="rId2" display="Will you use DU Health &amp; Counseling Services? " xr:uid="{00000000-0004-0000-0100-000001000000}"/>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Data!$A$2:$A$21</xm:f>
          </x14:formula1>
          <xm:sqref>J9 N9 L9</xm:sqref>
        </x14:dataValidation>
        <x14:dataValidation type="list" allowBlank="1" showInputMessage="1" showErrorMessage="1" xr:uid="{00000000-0002-0000-0100-000001000000}">
          <x14:formula1>
            <xm:f>Data!$A$27:$A$28</xm:f>
          </x14:formula1>
          <xm:sqref>G6</xm:sqref>
        </x14:dataValidation>
        <x14:dataValidation type="list" allowBlank="1" showInputMessage="1" showErrorMessage="1" xr:uid="{00000000-0002-0000-0100-000002000000}">
          <x14:formula1>
            <xm:f>Data!$A$24:$A$25</xm:f>
          </x14:formula1>
          <xm:sqref>F17:F18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O38"/>
  <sheetViews>
    <sheetView showGridLines="0" showRuler="0" zoomScaleNormal="100" workbookViewId="0">
      <selection activeCell="F17" sqref="F17"/>
    </sheetView>
  </sheetViews>
  <sheetFormatPr defaultColWidth="8.85546875" defaultRowHeight="15" x14ac:dyDescent="0.25"/>
  <cols>
    <col min="1" max="1" width="4.140625" customWidth="1"/>
    <col min="2" max="2" width="2.140625" customWidth="1"/>
    <col min="5" max="5" width="26.140625" customWidth="1"/>
    <col min="6" max="6" width="11.42578125" bestFit="1" customWidth="1"/>
    <col min="8" max="8" width="14.85546875" style="5" customWidth="1"/>
    <col min="9" max="9" width="4.7109375" customWidth="1"/>
    <col min="10" max="10" width="13.42578125" style="5" customWidth="1"/>
    <col min="11" max="11" width="4.7109375" customWidth="1"/>
    <col min="12" max="12" width="13.42578125" style="5" customWidth="1"/>
    <col min="13" max="13" width="4.7109375" style="5" customWidth="1"/>
    <col min="14" max="14" width="13.42578125" style="5" customWidth="1"/>
    <col min="15" max="15" width="3.42578125" customWidth="1"/>
  </cols>
  <sheetData>
    <row r="1" spans="2:15" ht="17.25" customHeight="1" x14ac:dyDescent="0.25"/>
    <row r="2" spans="2:15" ht="47.25" customHeight="1" x14ac:dyDescent="0.25">
      <c r="H2" s="76" t="s">
        <v>85</v>
      </c>
      <c r="I2" s="77"/>
      <c r="J2" s="77"/>
      <c r="K2" s="77"/>
      <c r="L2" s="77"/>
      <c r="M2" s="77"/>
      <c r="N2" s="77"/>
      <c r="O2" s="77"/>
    </row>
    <row r="3" spans="2:15" ht="8.25" customHeight="1" x14ac:dyDescent="0.25">
      <c r="B3" s="21"/>
      <c r="C3" s="21"/>
      <c r="D3" s="21"/>
      <c r="E3" s="21"/>
      <c r="F3" s="21"/>
      <c r="G3" s="21"/>
      <c r="H3" s="22"/>
      <c r="I3" s="23"/>
      <c r="J3" s="23"/>
      <c r="K3" s="23"/>
      <c r="L3" s="23"/>
      <c r="M3" s="23"/>
      <c r="N3" s="23"/>
      <c r="O3" s="23"/>
    </row>
    <row r="4" spans="2:15" ht="13.5" customHeight="1" x14ac:dyDescent="0.25">
      <c r="B4" s="56"/>
      <c r="C4" s="64"/>
      <c r="D4" s="56"/>
      <c r="E4" s="56"/>
      <c r="F4" s="56"/>
      <c r="G4" s="56"/>
      <c r="H4" s="56"/>
      <c r="I4" s="56"/>
      <c r="J4" s="56"/>
      <c r="K4" s="56"/>
      <c r="L4" s="56"/>
      <c r="M4" s="56"/>
      <c r="N4" s="56"/>
      <c r="O4" s="56"/>
    </row>
    <row r="5" spans="2:15" ht="19.5" customHeight="1" x14ac:dyDescent="0.3">
      <c r="D5" s="6" t="s">
        <v>49</v>
      </c>
      <c r="G5" s="86"/>
      <c r="H5" s="87"/>
      <c r="I5" s="88"/>
      <c r="J5" s="54"/>
      <c r="L5" s="54"/>
      <c r="N5" s="54"/>
    </row>
    <row r="6" spans="2:15" ht="19.5" customHeight="1" x14ac:dyDescent="0.25">
      <c r="J6" s="54"/>
      <c r="L6" s="54"/>
      <c r="N6" s="54"/>
    </row>
    <row r="7" spans="2:15" ht="19.5" customHeight="1" x14ac:dyDescent="0.25">
      <c r="J7" s="54" t="s">
        <v>79</v>
      </c>
      <c r="L7" s="54" t="s">
        <v>80</v>
      </c>
      <c r="N7" s="54" t="s">
        <v>81</v>
      </c>
    </row>
    <row r="8" spans="2:15" ht="18" customHeight="1" x14ac:dyDescent="0.3">
      <c r="D8" s="6" t="s">
        <v>15</v>
      </c>
      <c r="E8" s="32"/>
      <c r="F8" s="32"/>
      <c r="G8" s="32"/>
      <c r="H8" s="32"/>
      <c r="I8" s="32"/>
      <c r="J8" s="53"/>
      <c r="L8" s="53"/>
      <c r="M8" s="24"/>
      <c r="N8" s="53"/>
      <c r="O8" s="32"/>
    </row>
    <row r="9" spans="2:15" ht="6" customHeight="1" x14ac:dyDescent="0.25"/>
    <row r="10" spans="2:15" ht="15.75" thickBot="1" x14ac:dyDescent="0.3">
      <c r="B10" s="1" t="s">
        <v>7</v>
      </c>
      <c r="C10" s="1"/>
      <c r="D10" s="2"/>
      <c r="E10" s="2"/>
      <c r="F10" s="2"/>
      <c r="G10" s="2"/>
      <c r="H10" s="4" t="s">
        <v>3</v>
      </c>
      <c r="I10" s="3"/>
      <c r="J10" s="4" t="s">
        <v>82</v>
      </c>
      <c r="K10" s="3"/>
      <c r="L10" s="4" t="s">
        <v>83</v>
      </c>
      <c r="M10" s="4"/>
      <c r="N10" s="4" t="s">
        <v>84</v>
      </c>
      <c r="O10" s="2"/>
    </row>
    <row r="11" spans="2:15" ht="9" customHeight="1" x14ac:dyDescent="0.25"/>
    <row r="12" spans="2:15" ht="21.75" customHeight="1" x14ac:dyDescent="0.25">
      <c r="B12" s="11" t="s">
        <v>1</v>
      </c>
      <c r="C12" s="11"/>
      <c r="D12" s="78"/>
      <c r="E12" s="78"/>
      <c r="F12" s="12"/>
      <c r="G12" s="12"/>
      <c r="H12" s="13" t="e">
        <f>J12+L12+N12</f>
        <v>#N/A</v>
      </c>
      <c r="I12" s="12"/>
      <c r="J12" s="13" t="e">
        <f>IF(G5="2020 Fall Quarter or Later",(VLOOKUP(J8,Data!A45:D64,2,FALSE)),(VLOOKUP(J8,Data!A2:B21,2,FALSE)))</f>
        <v>#N/A</v>
      </c>
      <c r="K12" s="12"/>
      <c r="L12" s="13" t="e">
        <f>IF(G5="2020 Fall Quarter or Later",(VLOOKUP(L8,Data!A45:D64,2,FALSE)),(VLOOKUP(L8,Data!A2:B21,2,FALSE)))</f>
        <v>#N/A</v>
      </c>
      <c r="M12" s="13"/>
      <c r="N12" s="13" t="e">
        <f>IF(G5="2020 Fall Quarter or Later",(VLOOKUP(N8,Data!A45:D64,2,FALSE)),(VLOOKUP(N8,Data!A2:B21,2,FALSE)))</f>
        <v>#N/A</v>
      </c>
      <c r="O12" s="12"/>
    </row>
    <row r="13" spans="2:15" ht="21.75" customHeight="1" x14ac:dyDescent="0.25">
      <c r="B13" s="71" t="s">
        <v>0</v>
      </c>
      <c r="C13" s="71"/>
    </row>
    <row r="14" spans="2:15" ht="21.75" customHeight="1" x14ac:dyDescent="0.25">
      <c r="B14" s="14" t="s">
        <v>2</v>
      </c>
      <c r="C14" s="14"/>
      <c r="D14" s="12"/>
      <c r="E14" s="12"/>
      <c r="F14" s="12"/>
      <c r="G14" s="12"/>
      <c r="H14" s="13" t="e">
        <f>J14+L14+N14</f>
        <v>#N/A</v>
      </c>
      <c r="I14" s="12"/>
      <c r="J14" s="13" t="e">
        <f>IF(G5="2020 Fall Quarter or Later",(VLOOKUP(J8,Data!A45:C64,3,FALSE)),(VLOOKUP(J8,Data!A2:C21,3,FALSE)))</f>
        <v>#N/A</v>
      </c>
      <c r="K14" s="12"/>
      <c r="L14" s="13" t="e">
        <f>IF(G5="2020 Fall Quarter or Later",(VLOOKUP(L8,Data!A45:C64,3,FALSE)),(VLOOKUP(L8,Data!A2:C21,3,FALSE)))</f>
        <v>#N/A</v>
      </c>
      <c r="M14" s="13"/>
      <c r="N14" s="13" t="e">
        <f>IF(G5="2020 Fall Quarter or Later",(VLOOKUP(N8,Data!A45:C64,3,FALSE)),(VLOOKUP(N8,Data!A2:C21,3,FALSE)))</f>
        <v>#N/A</v>
      </c>
      <c r="O14" s="12"/>
    </row>
    <row r="15" spans="2:15" ht="21.75" customHeight="1" x14ac:dyDescent="0.25">
      <c r="B15" s="46" t="s">
        <v>17</v>
      </c>
      <c r="C15" s="46"/>
      <c r="H15" s="5" t="e">
        <f>J15+L15+N15</f>
        <v>#N/A</v>
      </c>
      <c r="J15" s="5" t="e">
        <f>IF(J8&lt;&gt;"not enrolled",(VLOOKUP(J8,Data!A2:D21,4,FALSE)),0)</f>
        <v>#N/A</v>
      </c>
      <c r="L15" s="5" t="e">
        <f>IF(L8&lt;&gt;"not enrolled",(VLOOKUP(L8,Data!A2:D21,4,FALSE)),0)</f>
        <v>#N/A</v>
      </c>
      <c r="N15" s="5" t="e">
        <f>IF(N8&lt;&gt;"not enrolled",(VLOOKUP(N8,Data!A2:D21,4,FALSE)),0)</f>
        <v>#N/A</v>
      </c>
    </row>
    <row r="16" spans="2:15" ht="21.75" customHeight="1" x14ac:dyDescent="0.25">
      <c r="B16" s="79" t="s">
        <v>47</v>
      </c>
      <c r="C16" s="79"/>
      <c r="D16" s="79"/>
      <c r="E16" s="80"/>
      <c r="F16" s="35"/>
      <c r="G16" s="33"/>
      <c r="H16" s="34">
        <f>J16+L16+N16</f>
        <v>0</v>
      </c>
      <c r="I16" s="33"/>
      <c r="J16" s="34">
        <f>IF(AND(F16="Yes", J8&lt;&gt;"not enrolled"), (VLOOKUP(F16, Data!A24:C25, 2, FALSE)), 0)</f>
        <v>0</v>
      </c>
      <c r="K16" s="33"/>
      <c r="L16" s="34">
        <v>0</v>
      </c>
      <c r="M16" s="34"/>
      <c r="N16" s="34">
        <f>IF(AND(F16="Yes", N8&lt;&gt;"not enrolled"), (VLOOKUP(F16, Data!A24:C25, 2, FALSE)), 0)</f>
        <v>0</v>
      </c>
      <c r="O16" s="33"/>
    </row>
    <row r="17" spans="2:15" s="29" customFormat="1" ht="21.75" customHeight="1" x14ac:dyDescent="0.25">
      <c r="B17" s="81" t="s">
        <v>46</v>
      </c>
      <c r="C17" s="81"/>
      <c r="D17" s="81"/>
      <c r="E17" s="82"/>
      <c r="F17" s="55"/>
      <c r="G17" s="36"/>
      <c r="H17" s="37">
        <f>J17+L17+N17</f>
        <v>0</v>
      </c>
      <c r="I17" s="36"/>
      <c r="J17" s="37">
        <f>IF(AND(F17="Yes", J8&lt;&gt;"not enrolled",J8&lt;&gt;"4 credits",J8&lt;&gt;"5 credits"), (VLOOKUP(F17,Data!A24:C25, 3, FALSE)), 0)</f>
        <v>0</v>
      </c>
      <c r="K17" s="36"/>
      <c r="L17" s="37">
        <f>IF(AND(F17="Yes", L8&lt;&gt;"not enrolled",L8&lt;&gt;"4 credits",L8&lt;&gt;"5 credits"), (VLOOKUP(F17, Data!A24:C25, 3, FALSE)), 0)</f>
        <v>0</v>
      </c>
      <c r="M17" s="37"/>
      <c r="N17" s="37">
        <f>IF(AND(F17="Yes", N8&lt;&gt;"not enrolled",N8&lt;&gt;"4 credits",N8&lt;&gt;"5 credits"), (VLOOKUP(F17, Data!A24:C25, 3, FALSE)), 0)</f>
        <v>0</v>
      </c>
      <c r="O17" s="36"/>
    </row>
    <row r="18" spans="2:15" ht="21.75" customHeight="1" x14ac:dyDescent="0.25">
      <c r="D18" s="9" t="s">
        <v>6</v>
      </c>
      <c r="H18" s="10" t="e">
        <f>SUM(H12, H14:H17)</f>
        <v>#N/A</v>
      </c>
      <c r="J18" s="10" t="e">
        <f>SUM(J12,J14:J17)</f>
        <v>#N/A</v>
      </c>
      <c r="L18" s="10" t="e">
        <f>SUM(L12,L14:L17)</f>
        <v>#N/A</v>
      </c>
      <c r="M18" s="10"/>
      <c r="N18" s="10" t="e">
        <f>SUM(N12,N14:N17)</f>
        <v>#N/A</v>
      </c>
    </row>
    <row r="19" spans="2:15" ht="24" customHeight="1" x14ac:dyDescent="0.25"/>
    <row r="20" spans="2:15" ht="15.75" thickBot="1" x14ac:dyDescent="0.3">
      <c r="B20" s="1" t="s">
        <v>11</v>
      </c>
      <c r="C20" s="1"/>
      <c r="D20" s="2"/>
      <c r="E20" s="2"/>
      <c r="F20" s="2"/>
      <c r="G20" s="2"/>
      <c r="H20" s="4" t="s">
        <v>3</v>
      </c>
      <c r="I20" s="3"/>
      <c r="J20" s="4" t="s">
        <v>82</v>
      </c>
      <c r="K20" s="3"/>
      <c r="L20" s="4" t="s">
        <v>83</v>
      </c>
      <c r="M20" s="4"/>
      <c r="N20" s="4" t="s">
        <v>84</v>
      </c>
      <c r="O20" s="2"/>
    </row>
    <row r="21" spans="2:15" ht="21.75" customHeight="1" x14ac:dyDescent="0.25">
      <c r="B21" t="s">
        <v>16</v>
      </c>
      <c r="H21" s="17"/>
      <c r="J21" s="5">
        <f>IF((AND(J8&lt;&gt;"not enrolled", L8&lt;&gt;"not enrolled", N8&lt;&gt;"not enrolled")), (H21/3), IF((AND(J8&lt;&gt;"not enrolled", L8&lt;&gt;"not enrolled", N8="not enrolled")), (H21/2), IF((AND(J8&lt;&gt;"not enrolled", L8="not enrolled", N8="not enrolled")), (H21/1), 0)))</f>
        <v>0</v>
      </c>
      <c r="L21" s="5">
        <f>IF((AND(J8&lt;&gt;"not enrolled", L8&lt;&gt;"not enrolled", N8&lt;&gt;"not enrolled")), (H21/3), IF((AND(J8&lt;&gt;"not enrolled", L8&lt;&gt;"not enrolled", N8="not enrolled")), (H21/2), IF((AND(J8="not enrolled", L8&lt;&gt;"not enrolled", N8&lt;&gt;"not enrolled")), (H21/2), 0)))</f>
        <v>0</v>
      </c>
      <c r="N21" s="5">
        <f>IF((AND(J8&lt;&gt;"not enrolled", L8&lt;&gt;"not enrolled", N8&lt;&gt;"not enrolled")), (H21/3), IF((AND(J8="not enrolled", L8&lt;&gt;"not enrolled", N8&lt;&gt;"not enrolled")), (H21/2), IF((AND(J8="not enrolled", L8="not enrolled", N8&lt;&gt;"not enrolled")), (H21), 0)))</f>
        <v>0</v>
      </c>
    </row>
    <row r="22" spans="2:15" ht="21.75" customHeight="1" x14ac:dyDescent="0.25">
      <c r="B22" s="12" t="s">
        <v>8</v>
      </c>
      <c r="C22" s="12"/>
      <c r="D22" s="12"/>
      <c r="E22" s="12"/>
      <c r="F22" s="12"/>
      <c r="G22" s="12"/>
      <c r="H22" s="18"/>
      <c r="I22" s="12"/>
      <c r="J22" s="13">
        <f>IF((AND(J8&lt;&gt;"not enrolled", L8&lt;&gt;"not enrolled", N8&lt;&gt;"not enrolled")), (H22/3), IF((AND(J8&lt;&gt;"not enrolled", L8&lt;&gt;"not enrolled", N8="not enrolled")), (H22/2), IF((AND(J8&lt;&gt;"not enrolled", L8="not enrolled", N8="not enrolled")), (H22/1), 0)))</f>
        <v>0</v>
      </c>
      <c r="K22" s="12"/>
      <c r="L22" s="13">
        <f>IF((AND(J8&lt;&gt;"not enrolled", L8&lt;&gt;"not enrolled", N8&lt;&gt;"not enrolled")), (H22/3), IF((AND(J8&lt;&gt;"not enrolled", L8&lt;&gt;"not enrolled", N8="not enrolled")), (H22/2), IF((AND(J8="not enrolled", L8&lt;&gt;"not enrolled", N8&lt;&gt;"not enrolled")), (H22/2), 0)))</f>
        <v>0</v>
      </c>
      <c r="M22" s="13"/>
      <c r="N22" s="13">
        <f>IF((AND(J8&lt;&gt;"not enrolled", L8&lt;&gt;"not enrolled", N8&lt;&gt;"not enrolled")), (H22/3), IF((AND(J8="not enrolled", L8&lt;&gt;"not enrolled", N8&lt;&gt;"not enrolled")), (H22/2), IF((AND(J8="not enrolled", L8="not enrolled", N8&lt;&gt;"not enrolled")), (H22), 0)))</f>
        <v>0</v>
      </c>
      <c r="O22" s="12"/>
    </row>
    <row r="23" spans="2:15" ht="21.75" customHeight="1" x14ac:dyDescent="0.25">
      <c r="B23" t="s">
        <v>19</v>
      </c>
      <c r="F23" s="19"/>
      <c r="H23" s="5">
        <f>SUM(J23,L23,N23)</f>
        <v>0</v>
      </c>
      <c r="J23" s="5">
        <f>IF((AND(J8&lt;&gt;"not enrolled", L8&lt;&gt;"not enrolled", N8&lt;&gt;"not enrolled")), ROUND(((F23-(F23*0.01057))/3),0), IF((AND(J8&lt;&gt;"not enrolled", L8&lt;&gt;"not enrolled", N8="not enrolled")), ROUND(((F23-(F23*0.01057))/2),0), IF((AND(J8&lt;&gt;"not enrolled", L8="not enrolled", N8="not enrolled")), ROUND(((F23-(F23*0.01057))/1),0), 0)))</f>
        <v>0</v>
      </c>
      <c r="L23" s="5">
        <f>IF((AND(J8&lt;&gt;"not enrolled", L8&lt;&gt;"not enrolled", N8&lt;&gt;"not enrolled")), ROUND(((F23-(F23*0.01057))/3),0), IF((AND(J8&lt;&gt;"not enrolled", L8&lt;&gt;"not enrolled", N8="not enrolled")), ROUND(((F23-(F23*0.01057))/2),0), IF((AND(J8="not enrolled", L8&lt;&gt;"not enrolled", N8&lt;&gt;"not enrolled")), ROUND(((F23-(F23*0.01057))/2),0), 0)))</f>
        <v>0</v>
      </c>
      <c r="N23" s="5">
        <f>IF((AND(J8&lt;&gt;"not enrolled", L8&lt;&gt;"not enrolled", N8&lt;&gt;"not enrolled")), ROUND(((F23-(F23*0.01057))/3),0), IF((AND(J8="not enrolled", L8&lt;&gt;"not enrolled", N8&lt;&gt;"not enrolled")), ROUND(((F23-(F23*0.01057))/2),0), IF((AND(J8="not enrolled", L8="not enrolled", N8&lt;&gt;"not enrolled")), ROUND(((F23-(F23*0.01057))/1),0), 0)))</f>
        <v>0</v>
      </c>
    </row>
    <row r="24" spans="2:15" ht="21.75" customHeight="1" x14ac:dyDescent="0.25">
      <c r="B24" s="12" t="s">
        <v>20</v>
      </c>
      <c r="C24" s="12"/>
      <c r="D24" s="12"/>
      <c r="E24" s="12"/>
      <c r="F24" s="19"/>
      <c r="G24" s="12"/>
      <c r="H24" s="13">
        <f>SUM(J24,L24,N24)</f>
        <v>0</v>
      </c>
      <c r="I24" s="12"/>
      <c r="J24" s="13">
        <f>IF((AND(J8&lt;&gt;"not enrolled", L8&lt;&gt;"not enrolled", N8&lt;&gt;"not enrolled")), ROUND(((F24-(F24*0.04228))/3),0), IF((AND(J8&lt;&gt;"not enrolled", L8&lt;&gt;"not enrolled", N8="not enrolled")), ROUND(((F24-(F24*0.04228))/2),0), IF((AND(J8&lt;&gt;"not enrolled", L8="not enrolled", N8="not enrolled")), ROUND(((F24-(F24*0.04228))/1),0), 0)))</f>
        <v>0</v>
      </c>
      <c r="K24" s="12"/>
      <c r="L24" s="13">
        <f>IF((AND(J8&lt;&gt;"not enrolled", L8&lt;&gt;"not enrolled", N8&lt;&gt;"not enrolled")), ROUND(((F24-(F24*0.04228))/3),0), IF((AND(J8&lt;&gt;"not enrolled", L8&lt;&gt;"not enrolled", N8="not enrolled")), ROUND(((F24-(F24*0.04228))/2),0), IF((AND(J8="not enrolled", L8&lt;&gt;"not enrolled", N8&lt;&gt;"not enrolled")), ROUND(((F24-(F24*0.04228))/2),0), 0)))</f>
        <v>0</v>
      </c>
      <c r="M24" s="13"/>
      <c r="N24" s="13">
        <f>IF((AND(J8&lt;&gt;"not enrolled", L8&lt;&gt;"not enrolled", N8&lt;&gt;"not enrolled")), ROUND(((F24-(F24*0.04228))/3),0), IF((AND(J8="not enrolled", L8&lt;&gt;"not enrolled", N8&lt;&gt;"not enrolled")), ROUND(((F24-(F24*0.04228))/2),0), IF((AND(J8="not enrolled", L8="not enrolled", N8&lt;&gt;"not enrolled")), ROUND(((F24-(F24*0.04228))/1),0), 0)))</f>
        <v>0</v>
      </c>
      <c r="O24" s="12"/>
    </row>
    <row r="25" spans="2:15" ht="21.75" customHeight="1" x14ac:dyDescent="0.25">
      <c r="B25" s="83" t="s">
        <v>22</v>
      </c>
      <c r="C25" s="83"/>
      <c r="D25" s="83"/>
      <c r="E25" s="83"/>
      <c r="F25" s="83"/>
      <c r="H25" s="18"/>
      <c r="J25" s="5">
        <f>IF((AND(J8&lt;&gt;"not enrolled", L8&lt;&gt;"not enrolled", N8&lt;&gt;"not enrolled")), (H25/3), IF((AND(J8&lt;&gt;"not enrolled", L8&lt;&gt;"not enrolled", N8="not enrolled")), (H25/2), IF((AND(J8&lt;&gt;"not enrolled", L8="not enrolled", N8="not enrolled")), (H25/1), 0)))</f>
        <v>0</v>
      </c>
      <c r="L25" s="5">
        <f>IF((AND(J8&lt;&gt;"not enrolled", L8&lt;&gt;"not enrolled", N8&lt;&gt;"not enrolled")), (H25/3), IF((AND(J8&lt;&gt;"not enrolled", L8&lt;&gt;"not enrolled", N8="not enrolled")), (H25/2), IF((AND(J8="not enrolled", L8&lt;&gt;"not enrolled", N8&lt;&gt;"not enrolled")), (H25/2), 0)))</f>
        <v>0</v>
      </c>
      <c r="N25" s="5">
        <f>IF((AND(J8&lt;&gt;"not enrolled", L8&lt;&gt;"not enrolled", N8&lt;&gt;"not enrolled")), (H25/3), IF((AND(J8="not enrolled", L8&lt;&gt;"not enrolled", N8&lt;&gt;"not enrolled")), (H25/2), IF((AND(J8="not enrolled", L8="not enrolled", N8&lt;&gt;"not enrolled")), (H25), 0)))</f>
        <v>0</v>
      </c>
    </row>
    <row r="26" spans="2:15" ht="21.75" customHeight="1" x14ac:dyDescent="0.25">
      <c r="B26" s="84" t="s">
        <v>23</v>
      </c>
      <c r="C26" s="84"/>
      <c r="D26" s="84"/>
      <c r="E26" s="84"/>
      <c r="F26" s="84"/>
      <c r="G26" s="84"/>
      <c r="H26" s="31">
        <f>J26+L26+N26</f>
        <v>0</v>
      </c>
      <c r="I26" s="30"/>
      <c r="J26" s="20"/>
      <c r="K26" s="30"/>
      <c r="L26" s="20"/>
      <c r="M26" s="38"/>
      <c r="N26" s="63"/>
      <c r="O26" s="30"/>
    </row>
    <row r="27" spans="2:15" ht="21.75" customHeight="1" x14ac:dyDescent="0.25">
      <c r="D27" s="9" t="s">
        <v>10</v>
      </c>
      <c r="H27" s="5">
        <f>SUM(H21:H26)</f>
        <v>0</v>
      </c>
      <c r="J27" s="5">
        <f>SUM(J21:J26)</f>
        <v>0</v>
      </c>
      <c r="L27" s="5">
        <f>SUM(L21:L25,L26)</f>
        <v>0</v>
      </c>
      <c r="N27" s="5">
        <f>SUM(N21:N25,N26)</f>
        <v>0</v>
      </c>
    </row>
    <row r="28" spans="2:15" ht="15.75" thickBot="1" x14ac:dyDescent="0.3"/>
    <row r="29" spans="2:15" ht="21.75" customHeight="1" thickTop="1" thickBot="1" x14ac:dyDescent="0.35">
      <c r="B29" s="16" t="s">
        <v>12</v>
      </c>
      <c r="C29" s="16"/>
      <c r="D29" s="15"/>
      <c r="E29" s="15"/>
      <c r="F29" s="15"/>
      <c r="G29" s="15"/>
      <c r="H29" s="27" t="e">
        <f>H18-H27</f>
        <v>#N/A</v>
      </c>
      <c r="I29" s="28"/>
      <c r="J29" s="27" t="e">
        <f>J18-J27</f>
        <v>#N/A</v>
      </c>
      <c r="K29" s="28"/>
      <c r="L29" s="27" t="e">
        <f>L18-L27</f>
        <v>#N/A</v>
      </c>
      <c r="M29" s="27"/>
      <c r="N29" s="27" t="e">
        <f>N18-N27</f>
        <v>#N/A</v>
      </c>
      <c r="O29" s="15"/>
    </row>
    <row r="30" spans="2:15" ht="15.75" thickTop="1" x14ac:dyDescent="0.25"/>
    <row r="31" spans="2:15" x14ac:dyDescent="0.25">
      <c r="B31" s="9" t="s">
        <v>13</v>
      </c>
      <c r="C31" s="9"/>
    </row>
    <row r="32" spans="2:15" ht="21.75" customHeight="1" x14ac:dyDescent="0.25">
      <c r="B32" s="62">
        <v>1</v>
      </c>
      <c r="C32" s="60" t="str">
        <f>IF(G5="2020 Fall Quarter or Later",Data!J4,Data!J3)</f>
        <v>Tuition for the 2022-2023 academic year is $1,535 per credit. If enrolled in 12-18 credits, tuition will be charged a flat rate of $18,420.</v>
      </c>
      <c r="D32" s="61"/>
      <c r="E32" s="61"/>
      <c r="F32" s="61"/>
      <c r="G32" s="61"/>
      <c r="H32" s="61"/>
      <c r="I32" s="61"/>
      <c r="J32" s="61"/>
      <c r="K32" s="61"/>
      <c r="L32" s="61"/>
      <c r="M32" s="61"/>
      <c r="N32" s="61"/>
      <c r="O32" s="61"/>
    </row>
    <row r="33" spans="2:15" ht="18" customHeight="1" x14ac:dyDescent="0.25">
      <c r="B33" s="59">
        <v>2</v>
      </c>
      <c r="C33" s="60" t="s">
        <v>48</v>
      </c>
      <c r="D33" s="60"/>
      <c r="E33" s="60"/>
      <c r="F33" s="60"/>
      <c r="G33" s="60"/>
      <c r="H33" s="60"/>
      <c r="I33" s="60"/>
      <c r="J33" s="60"/>
      <c r="K33" s="60"/>
      <c r="L33" s="60"/>
      <c r="M33" s="60"/>
      <c r="N33" s="60"/>
      <c r="O33" s="60"/>
    </row>
    <row r="34" spans="2:15" ht="18" customHeight="1" x14ac:dyDescent="0.25">
      <c r="B34" s="59">
        <v>3</v>
      </c>
      <c r="C34" t="s">
        <v>57</v>
      </c>
    </row>
    <row r="35" spans="2:15" ht="46.5" customHeight="1" x14ac:dyDescent="0.25">
      <c r="B35" s="58">
        <v>4</v>
      </c>
      <c r="C35" s="85" t="s">
        <v>58</v>
      </c>
      <c r="D35" s="85"/>
      <c r="E35" s="85"/>
      <c r="F35" s="85"/>
      <c r="G35" s="85"/>
      <c r="H35" s="85"/>
      <c r="I35" s="85"/>
      <c r="J35" s="85"/>
      <c r="K35" s="85"/>
      <c r="L35" s="85"/>
      <c r="M35" s="85"/>
      <c r="N35" s="85"/>
      <c r="O35" s="85"/>
    </row>
    <row r="36" spans="2:15" ht="21.75" customHeight="1" x14ac:dyDescent="0.25"/>
    <row r="38" spans="2:15" x14ac:dyDescent="0.25">
      <c r="B38" s="72" t="s">
        <v>14</v>
      </c>
      <c r="C38" s="72"/>
      <c r="D38" s="72"/>
      <c r="E38" s="72"/>
      <c r="F38" s="72"/>
      <c r="G38" s="72"/>
      <c r="H38" s="72"/>
      <c r="I38" s="72"/>
      <c r="J38" s="72"/>
      <c r="K38" s="72"/>
      <c r="L38" s="72"/>
      <c r="M38" s="72"/>
      <c r="N38" s="72"/>
      <c r="O38" s="72"/>
    </row>
  </sheetData>
  <sheetProtection algorithmName="SHA-512" hashValue="4QS0TW1fbud6g9fTwzaKMXG/i35+VU8wR8J3Jk8tcNuDsE4Q/gpxftpSZ/RwaFTMXNZ4JTQqQ6iWJkgEEo8tqw==" saltValue="mtJ7pUkTQ70thyyHLHqbMg==" spinCount="100000" sheet="1" objects="1" scenarios="1" selectLockedCells="1"/>
  <mergeCells count="9">
    <mergeCell ref="B26:G26"/>
    <mergeCell ref="C35:O35"/>
    <mergeCell ref="B38:O38"/>
    <mergeCell ref="H2:O2"/>
    <mergeCell ref="G5:I5"/>
    <mergeCell ref="D12:E12"/>
    <mergeCell ref="B16:E16"/>
    <mergeCell ref="B17:E17"/>
    <mergeCell ref="B25:F25"/>
  </mergeCells>
  <hyperlinks>
    <hyperlink ref="B16" r:id="rId1" display="Will you enroll in DU's health insurance plan?" xr:uid="{00000000-0004-0000-0200-000000000000}"/>
    <hyperlink ref="B17" r:id="rId2" display="Will you use DU Health &amp; Counseling Services? " xr:uid="{00000000-0004-0000-0200-000001000000}"/>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Data!$A$24:$A$25</xm:f>
          </x14:formula1>
          <xm:sqref>F16:F17</xm:sqref>
        </x14:dataValidation>
        <x14:dataValidation type="list" allowBlank="1" showInputMessage="1" showErrorMessage="1" xr:uid="{00000000-0002-0000-0200-000001000000}">
          <x14:formula1>
            <xm:f>Data!$A$2:$A$21</xm:f>
          </x14:formula1>
          <xm:sqref>J8 N8 L8</xm:sqref>
        </x14:dataValidation>
        <x14:dataValidation type="list" allowBlank="1" showInputMessage="1" showErrorMessage="1" xr:uid="{00000000-0002-0000-0200-000002000000}">
          <x14:formula1>
            <xm:f>Data!$A$30:$A$31</xm:f>
          </x14:formula1>
          <xm:sqref>G5:I5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O34"/>
  <sheetViews>
    <sheetView showGridLines="0" showRowColHeaders="0" showRuler="0" zoomScaleNormal="100" workbookViewId="0">
      <selection activeCell="E5" sqref="E5:G5"/>
    </sheetView>
  </sheetViews>
  <sheetFormatPr defaultColWidth="8.85546875" defaultRowHeight="15" x14ac:dyDescent="0.25"/>
  <cols>
    <col min="1" max="1" width="4.140625" customWidth="1"/>
    <col min="4" max="4" width="26.7109375" customWidth="1"/>
    <col min="5" max="5" width="11.42578125" customWidth="1"/>
    <col min="7" max="7" width="13.140625" style="5" customWidth="1"/>
    <col min="8" max="8" width="4.7109375" customWidth="1"/>
    <col min="9" max="9" width="13.7109375" style="5" customWidth="1"/>
    <col min="10" max="10" width="4.7109375" customWidth="1"/>
    <col min="11" max="11" width="13.7109375" style="5" customWidth="1"/>
    <col min="12" max="12" width="4.7109375" style="5" customWidth="1"/>
    <col min="13" max="13" width="13.7109375" style="5" customWidth="1"/>
    <col min="14" max="14" width="3.42578125" customWidth="1"/>
  </cols>
  <sheetData>
    <row r="1" spans="2:15" ht="17.25" customHeight="1" x14ac:dyDescent="0.25"/>
    <row r="2" spans="2:15" ht="47.25" customHeight="1" x14ac:dyDescent="0.25">
      <c r="G2" s="76" t="s">
        <v>86</v>
      </c>
      <c r="H2" s="77"/>
      <c r="I2" s="77"/>
      <c r="J2" s="77"/>
      <c r="K2" s="77"/>
      <c r="L2" s="77"/>
      <c r="M2" s="77"/>
      <c r="N2" s="77"/>
    </row>
    <row r="3" spans="2:15" ht="8.25" customHeight="1" x14ac:dyDescent="0.25">
      <c r="B3" s="21"/>
      <c r="C3" s="21"/>
      <c r="D3" s="21"/>
      <c r="E3" s="21"/>
      <c r="F3" s="21"/>
      <c r="G3" s="22"/>
      <c r="H3" s="23"/>
      <c r="I3" s="23"/>
      <c r="J3" s="23"/>
      <c r="K3" s="23"/>
      <c r="L3" s="23"/>
      <c r="M3" s="23"/>
      <c r="N3" s="23"/>
    </row>
    <row r="4" spans="2:15" ht="9.75" customHeight="1" x14ac:dyDescent="0.25"/>
    <row r="5" spans="2:15" ht="18" customHeight="1" x14ac:dyDescent="0.3">
      <c r="B5" s="6" t="s">
        <v>49</v>
      </c>
      <c r="D5" s="32"/>
      <c r="E5" s="90"/>
      <c r="F5" s="91"/>
      <c r="G5" s="92"/>
      <c r="I5"/>
      <c r="N5" s="5"/>
      <c r="O5" s="5"/>
    </row>
    <row r="6" spans="2:15" ht="9.75" customHeight="1" x14ac:dyDescent="0.25">
      <c r="N6" s="5"/>
      <c r="O6" s="5"/>
    </row>
    <row r="7" spans="2:15" ht="17.25" customHeight="1" x14ac:dyDescent="0.25">
      <c r="I7" s="69" t="s">
        <v>79</v>
      </c>
      <c r="K7" s="69" t="s">
        <v>80</v>
      </c>
      <c r="M7" s="69" t="s">
        <v>81</v>
      </c>
      <c r="N7" s="5"/>
      <c r="O7" s="5"/>
    </row>
    <row r="8" spans="2:15" ht="18" customHeight="1" x14ac:dyDescent="0.3">
      <c r="C8" s="6" t="s">
        <v>15</v>
      </c>
      <c r="D8" s="32"/>
      <c r="E8" s="32"/>
      <c r="F8" s="32"/>
      <c r="G8" s="32"/>
      <c r="H8" s="32"/>
      <c r="I8" s="65"/>
      <c r="K8" s="65"/>
      <c r="L8" s="24"/>
      <c r="M8" s="65"/>
      <c r="N8" s="32"/>
    </row>
    <row r="9" spans="2:15" ht="15" customHeight="1" x14ac:dyDescent="0.25"/>
    <row r="10" spans="2:15" ht="15.75" thickBot="1" x14ac:dyDescent="0.3">
      <c r="B10" s="1" t="s">
        <v>7</v>
      </c>
      <c r="C10" s="2"/>
      <c r="D10" s="2"/>
      <c r="E10" s="2"/>
      <c r="F10" s="2"/>
      <c r="G10" s="4" t="s">
        <v>3</v>
      </c>
      <c r="H10" s="3"/>
      <c r="I10" s="4" t="s">
        <v>82</v>
      </c>
      <c r="J10" s="3"/>
      <c r="K10" s="4" t="s">
        <v>83</v>
      </c>
      <c r="L10" s="4"/>
      <c r="M10" s="4" t="s">
        <v>84</v>
      </c>
      <c r="N10" s="2"/>
    </row>
    <row r="11" spans="2:15" ht="9" customHeight="1" x14ac:dyDescent="0.25"/>
    <row r="12" spans="2:15" ht="21.75" customHeight="1" x14ac:dyDescent="0.25">
      <c r="B12" s="11" t="s">
        <v>1</v>
      </c>
      <c r="C12" s="78"/>
      <c r="D12" s="78"/>
      <c r="E12" s="12"/>
      <c r="F12" s="12"/>
      <c r="G12" s="13">
        <f>I12+K12+M12</f>
        <v>0</v>
      </c>
      <c r="H12" s="12"/>
      <c r="I12" s="13">
        <f>IF(E5="2020 Summer Quarter or Later",(VLOOKUP(I8,Data!E24:G41,3,FALSE)),IF(E5="Prior to 2020 Summer Quarter",(VLOOKUP(I8,Data!E24:F41,2,FALSE)),0))</f>
        <v>0</v>
      </c>
      <c r="J12" s="12"/>
      <c r="K12" s="13">
        <f>IF(E5="2020 Summer Quarter or Later",(VLOOKUP(K8,Data!E24:G41,3,FALSE)),IF(E5="Prior to 2020 Summer Quarter",(VLOOKUP(K8,Data!E24:F41,2,FALSE)),0))</f>
        <v>0</v>
      </c>
      <c r="L12" s="13"/>
      <c r="M12" s="13">
        <f>IF(E5="2020 Summer Quarter or Later",(VLOOKUP(M8,Data!E24:G41,3,FALSE)),IF(E5="Prior to 2020 Summer Quarter",(VLOOKUP(M8,Data!E24:F41,2,FALSE)),0))</f>
        <v>0</v>
      </c>
      <c r="N12" s="12"/>
    </row>
    <row r="13" spans="2:15" ht="21.75" customHeight="1" x14ac:dyDescent="0.25">
      <c r="B13" s="70" t="s">
        <v>2</v>
      </c>
      <c r="C13" s="36"/>
      <c r="D13" s="36"/>
      <c r="E13" s="36"/>
      <c r="F13" s="36"/>
      <c r="G13" s="37" t="e">
        <f>I13+K13+M13</f>
        <v>#N/A</v>
      </c>
      <c r="H13" s="36"/>
      <c r="I13" s="37" t="e">
        <f>VLOOKUP(I8, Data!E24:H41, 4, FALSE)</f>
        <v>#N/A</v>
      </c>
      <c r="J13" s="36"/>
      <c r="K13" s="37" t="e">
        <f>VLOOKUP(K8, Data!E24:H41, 4, FALSE)</f>
        <v>#N/A</v>
      </c>
      <c r="L13" s="37"/>
      <c r="M13" s="37" t="e">
        <f>VLOOKUP(M8, Data!E24:H41, 4, FALSE)</f>
        <v>#N/A</v>
      </c>
      <c r="N13" s="36"/>
    </row>
    <row r="14" spans="2:15" ht="21.75" customHeight="1" x14ac:dyDescent="0.25">
      <c r="C14" s="9" t="s">
        <v>6</v>
      </c>
      <c r="G14" s="10" t="e">
        <f>SUM(G12, G13:G13)</f>
        <v>#N/A</v>
      </c>
      <c r="I14" s="10" t="e">
        <f>SUM(I12,I13:I13)</f>
        <v>#N/A</v>
      </c>
      <c r="K14" s="10" t="e">
        <f>SUM(K12,K13:K13)</f>
        <v>#N/A</v>
      </c>
      <c r="L14" s="10"/>
      <c r="M14" s="10" t="e">
        <f>SUM(M12,M13:M13)</f>
        <v>#N/A</v>
      </c>
    </row>
    <row r="15" spans="2:15" ht="24" customHeight="1" x14ac:dyDescent="0.25"/>
    <row r="16" spans="2:15" ht="15.75" thickBot="1" x14ac:dyDescent="0.3">
      <c r="B16" s="1" t="s">
        <v>11</v>
      </c>
      <c r="C16" s="2"/>
      <c r="D16" s="2"/>
      <c r="E16" s="2"/>
      <c r="F16" s="2"/>
      <c r="G16" s="4" t="s">
        <v>3</v>
      </c>
      <c r="H16" s="3"/>
      <c r="I16" s="4" t="s">
        <v>82</v>
      </c>
      <c r="J16" s="3"/>
      <c r="K16" s="4" t="s">
        <v>83</v>
      </c>
      <c r="L16" s="4"/>
      <c r="M16" s="4" t="s">
        <v>84</v>
      </c>
      <c r="N16" s="2"/>
    </row>
    <row r="17" spans="2:14" ht="21.75" customHeight="1" x14ac:dyDescent="0.25">
      <c r="B17" t="s">
        <v>16</v>
      </c>
      <c r="G17" s="17"/>
      <c r="I17" s="5">
        <f>IF((AND(I8&lt;&gt;"not enrolled", K8&lt;&gt;"not enrolled", M8&lt;&gt;"not enrolled")), (G17/3), IF((AND(I8&lt;&gt;"not enrolled", K8&lt;&gt;"not enrolled", M8="not enrolled")), (G17/2), IF((AND(I8&lt;&gt;"not enrolled", K8="not enrolled", M8="not enrolled")), (G17/1), 0)))</f>
        <v>0</v>
      </c>
      <c r="K17" s="5">
        <f>IF((AND(I8&lt;&gt;"not enrolled", K8&lt;&gt;"not enrolled", M8&lt;&gt;"not enrolled")), (G17/3), IF((AND(I8&lt;&gt;"not enrolled", K8&lt;&gt;"not enrolled", M8="not enrolled")), (G17/2), IF((AND(I8="not enrolled", K8&lt;&gt;"not enrolled", M8&lt;&gt;"not enrolled")), (G17/2), 0)))</f>
        <v>0</v>
      </c>
      <c r="M17" s="5">
        <f>IF((AND(I8&lt;&gt;"not enrolled", K8&lt;&gt;"not enrolled", M8&lt;&gt;"not enrolled")), (G17/3), IF((AND(I8="not enrolled", K8&lt;&gt;"not enrolled", M8&lt;&gt;"not enrolled")), (G17/2), IF((AND(I8="not enrolled", K8="not enrolled", M8&lt;&gt;"not enrolled")), (G17),0)))</f>
        <v>0</v>
      </c>
    </row>
    <row r="18" spans="2:14" ht="21.75" customHeight="1" x14ac:dyDescent="0.25">
      <c r="B18" s="12" t="s">
        <v>8</v>
      </c>
      <c r="C18" s="12"/>
      <c r="D18" s="12"/>
      <c r="E18" s="12"/>
      <c r="F18" s="12"/>
      <c r="G18" s="18"/>
      <c r="H18" s="12"/>
      <c r="I18" s="13">
        <f>IF((AND(I8&lt;&gt;"not enrolled", K8&lt;&gt;"not enrolled", M8&lt;&gt;"not enrolled")), (G18/3), IF((AND(I8&lt;&gt;"not enrolled", K8&lt;&gt;"not enrolled", M8="not enrolled")), (G18/2), IF((AND(I8&lt;&gt;"not enrolled", K8="not enrolled", M8="not enrolled")), (G18/1), 0)))</f>
        <v>0</v>
      </c>
      <c r="J18" s="12"/>
      <c r="K18" s="13">
        <f>IF((AND(I8&lt;&gt;"not enrolled",K8&lt;&gt;"not enrolled",M8&lt;&gt;"not enrolled")),(G18/3),IF((AND(I8&lt;&gt;"not enrolled",K8&lt;&gt;"not enrolled",M8="not enrolled")),(G18/2),IF((AND(I8="not enrolled",K8&lt;&gt;"not enrolled",M8&lt;&gt;"not enrolled")),(G18/2),0)))</f>
        <v>0</v>
      </c>
      <c r="L18" s="13"/>
      <c r="M18" s="13">
        <f>IF((AND(I8&lt;&gt;"not enrolled",K8&lt;&gt;"not enrolled",M8&lt;&gt;"not enrolled")),(G18/3),IF((AND(I8="not enrolled",K8&lt;&gt;"not enrolled",M8&lt;&gt;"not enrolled")),(G18/2),IF((AND(I8="not enrolled",K8="not enrolled",M8&lt;&gt;"not enrolled")),(G18),0)))</f>
        <v>0</v>
      </c>
      <c r="N18" s="12"/>
    </row>
    <row r="19" spans="2:14" ht="21.75" customHeight="1" x14ac:dyDescent="0.25">
      <c r="B19" t="s">
        <v>19</v>
      </c>
      <c r="E19" s="19"/>
      <c r="G19" s="5">
        <f>SUM(I19,K19,M19)</f>
        <v>0</v>
      </c>
      <c r="I19" s="5">
        <f>IF((AND(I8&lt;&gt;"not enrolled", K8&lt;&gt;"not enrolled", M8&lt;&gt;"not enrolled")), ROUND(((E19-(E19*0.01057))/3),0), IF((AND(I8&lt;&gt;"not enrolled",K8&lt;&gt;"not enrolled", M8="not enrolled")), ROUND(((E19-(E19*0.01057))/2),0), IF((AND(I8&lt;&gt;"not enrolled", K8="not enrolled", M8="not enrolled")), ROUND(((E19-(E19*0.01057))/1),0), 0)))</f>
        <v>0</v>
      </c>
      <c r="K19" s="5">
        <f>IF((AND(I8&lt;&gt;"not enrolled", K8&lt;&gt;"not enrolled", M8&lt;&gt;"not enrolled")), ROUND(((E19-(E19*0.01057))/3),0), IF((AND(I8&lt;&gt;"not enrolled", K8&lt;&gt;"not enrolled", M8="not enrolled")), ROUND(((E19-(E19*0.01057))/2),0), IF((AND(I8="not enrolled",K8&lt;&gt;"not enrolled", M8&lt;&gt;"not enrolled")), ROUND(((E19-(E19*0.01057))/2),0), 0)))</f>
        <v>0</v>
      </c>
      <c r="M19" s="5">
        <f>IF((AND(I8&lt;&gt;"not enrolled", K8&lt;&gt;"not enrolled", M8&lt;&gt;"not enrolled")), ROUND(((E19-(E19*0.01057))/3),0), IF((AND(I8="not enrolled", K8&lt;&gt;"not enrolled", M8&lt;&gt;"not enrolled")), ROUND(((E19-(E19*0.01057))/2),0), IF((AND(I8="not enrolled", K8="not enrolled", M8&lt;&gt;"not enrolled")), ROUND(((E19-(E19*0.01057))/1),0), 0)))</f>
        <v>0</v>
      </c>
    </row>
    <row r="20" spans="2:14" ht="21.75" customHeight="1" x14ac:dyDescent="0.25">
      <c r="B20" s="12" t="s">
        <v>20</v>
      </c>
      <c r="C20" s="12"/>
      <c r="D20" s="12"/>
      <c r="E20" s="19"/>
      <c r="F20" s="12"/>
      <c r="G20" s="13">
        <f>SUM(I20,K20,M20)</f>
        <v>0</v>
      </c>
      <c r="H20" s="12"/>
      <c r="I20" s="13">
        <f>IF((AND(I8&lt;&gt;"not enrolled", K8&lt;&gt;"not enrolled", M8&lt;&gt;"not enrolled")), ROUND(((E20-(E20*0.04228))/3),0), IF((AND(I8&lt;&gt;"not enrolled",K8&lt;&gt;"not enrolled", M8="not enrolled")), ROUND(((E20-(E20*0.04228))/2),0), IF((AND(I8&lt;&gt;"not enrolled", K8="not enrolled", M8="not enrolled")), ROUND(((E20-(E20*0.04228))/1),0), 0)))</f>
        <v>0</v>
      </c>
      <c r="J20" s="12"/>
      <c r="K20" s="13">
        <f>IF((AND(I8&lt;&gt;"not enrolled", K8&lt;&gt;"not enrolled", M8&lt;&gt;"not enrolled")), ROUND(((E20-(E20*0.04228))/3),0), IF((AND(I8&lt;&gt;"not enrolled", K8&lt;&gt;"not enrolled", M8="not enrolled")), ROUND(((E20-(E20*0.04228))/2),0), IF((AND(I8="not enrolled",K8&lt;&gt;"not enrolled", M8&lt;&gt;"not enrolled")), ROUND(((E20-(E20*0.04228))/2),0), 0)))</f>
        <v>0</v>
      </c>
      <c r="L20" s="13"/>
      <c r="M20" s="13">
        <f>IF((AND(I8&lt;&gt;"not enrolled", K8&lt;&gt;"not enrolled", M8&lt;&gt;"not enrolled")), ROUND(((E20-(E20*0.04228))/3),0), IF((AND(I8="not enrolled", K8&lt;&gt;"not enrolled", M8&lt;&gt;"not enrolled")), ROUND(((E20-(E20*0.04228))/2),0), IF((AND(I8="not enrolled", K8="not enrolled", M8&lt;&gt;"not enrolled")), ROUND(((E20-(E20*0.04228))/1),0), 0)))</f>
        <v>0</v>
      </c>
      <c r="N20" s="12"/>
    </row>
    <row r="21" spans="2:14" ht="21.75" customHeight="1" x14ac:dyDescent="0.25">
      <c r="B21" t="s">
        <v>9</v>
      </c>
      <c r="G21" s="18"/>
      <c r="I21" s="5">
        <f>IF((AND(I8&lt;&gt;"not enrolled", K8&lt;&gt;"not enrolled", M8&lt;&gt;"not enrolled")), (G21/3), IF((AND(I8&lt;&gt;"not enrolled", K8&lt;&gt;"not enrolled", M8="not enrolled")), (G21/2), IF((AND(I8&lt;&gt;"not enrolled", K8="not enrolled", M8="not enrolled")), (G21/1), 0)))</f>
        <v>0</v>
      </c>
      <c r="K21" s="5">
        <f>IF((AND(I8&lt;&gt;"not enrolled", K8&lt;&gt;"not enrolled", M8&lt;&gt;"not enrolled")), (G21/3), IF((AND(I8&lt;&gt;"not enrolled", K8&lt;&gt;"not enrolled", M8="not enrolled")), (G21/2), IF((AND(I8="not enrolled", K8&lt;&gt;"not enrolled", M8&lt;&gt;"not enrolled")), (G21/2), 0)))</f>
        <v>0</v>
      </c>
      <c r="M21" s="5">
        <f>IF((AND(I8&lt;&gt;"not enrolled",K8&lt;&gt;"not enrolled",M8&lt;&gt;"not enrolled")),(G21/3),IF((AND(I8="not enrolled",K8&lt;&gt;"not enrolled",M8&lt;&gt;"not enrolled")),(G21/2),IF((AND(I8="not enrolled",K8="not enrolled",M8&lt;&gt;"not enrolled")),(G21),0)))</f>
        <v>0</v>
      </c>
    </row>
    <row r="22" spans="2:14" ht="21.75" customHeight="1" x14ac:dyDescent="0.25">
      <c r="B22" s="89" t="s">
        <v>23</v>
      </c>
      <c r="C22" s="89"/>
      <c r="D22" s="89"/>
      <c r="E22" s="89"/>
      <c r="F22" s="89"/>
      <c r="G22" s="8"/>
      <c r="H22" s="7"/>
      <c r="I22" s="20"/>
      <c r="J22" s="7"/>
      <c r="K22" s="20"/>
      <c r="L22" s="25"/>
      <c r="M22" s="26"/>
      <c r="N22" s="7"/>
    </row>
    <row r="23" spans="2:14" ht="21.75" customHeight="1" x14ac:dyDescent="0.25">
      <c r="C23" s="9" t="s">
        <v>10</v>
      </c>
      <c r="G23" s="5">
        <f>SUM(G17:G22)</f>
        <v>0</v>
      </c>
      <c r="I23" s="5">
        <f>SUM(I17:I22)</f>
        <v>0</v>
      </c>
      <c r="K23" s="5">
        <f>SUM(K17:K21,K22)</f>
        <v>0</v>
      </c>
      <c r="M23" s="5">
        <f>SUM(M17:M21,M22)</f>
        <v>0</v>
      </c>
    </row>
    <row r="24" spans="2:14" ht="15.75" thickBot="1" x14ac:dyDescent="0.3"/>
    <row r="25" spans="2:14" ht="21.75" customHeight="1" thickTop="1" thickBot="1" x14ac:dyDescent="0.35">
      <c r="B25" s="16" t="s">
        <v>12</v>
      </c>
      <c r="C25" s="15"/>
      <c r="D25" s="15"/>
      <c r="E25" s="15"/>
      <c r="F25" s="15"/>
      <c r="G25" s="27" t="e">
        <f>G14-G23</f>
        <v>#N/A</v>
      </c>
      <c r="H25" s="28"/>
      <c r="I25" s="27" t="e">
        <f>I14-I23</f>
        <v>#N/A</v>
      </c>
      <c r="J25" s="28"/>
      <c r="K25" s="27" t="e">
        <f>K14-K23</f>
        <v>#N/A</v>
      </c>
      <c r="L25" s="27"/>
      <c r="M25" s="27" t="e">
        <f>M14-M23</f>
        <v>#N/A</v>
      </c>
      <c r="N25" s="15"/>
    </row>
    <row r="26" spans="2:14" ht="15.75" thickTop="1" x14ac:dyDescent="0.25"/>
    <row r="27" spans="2:14" x14ac:dyDescent="0.25">
      <c r="B27" s="9" t="s">
        <v>13</v>
      </c>
    </row>
    <row r="28" spans="2:14" ht="36" customHeight="1" x14ac:dyDescent="0.25">
      <c r="B28" s="85" t="s">
        <v>87</v>
      </c>
      <c r="C28" s="85"/>
      <c r="D28" s="85"/>
      <c r="E28" s="85"/>
      <c r="F28" s="85"/>
      <c r="G28" s="85"/>
      <c r="H28" s="85"/>
      <c r="I28" s="85"/>
      <c r="J28" s="85"/>
      <c r="K28" s="85"/>
      <c r="L28" s="85"/>
      <c r="M28" s="85"/>
      <c r="N28" s="85"/>
    </row>
    <row r="29" spans="2:14" ht="21.75" customHeight="1" x14ac:dyDescent="0.25">
      <c r="B29" s="83" t="s">
        <v>18</v>
      </c>
      <c r="C29" s="83"/>
      <c r="D29" s="83"/>
      <c r="E29" s="83"/>
      <c r="F29" s="83"/>
      <c r="G29" s="83"/>
      <c r="H29" s="83"/>
      <c r="I29" s="83"/>
      <c r="J29" s="83"/>
      <c r="K29" s="83"/>
      <c r="L29" s="83"/>
      <c r="M29" s="83"/>
      <c r="N29" s="83"/>
    </row>
    <row r="30" spans="2:14" ht="21.75" customHeight="1" x14ac:dyDescent="0.25">
      <c r="B30" t="s">
        <v>59</v>
      </c>
    </row>
    <row r="31" spans="2:14" ht="51" customHeight="1" x14ac:dyDescent="0.25">
      <c r="B31" s="85" t="s">
        <v>60</v>
      </c>
      <c r="C31" s="85"/>
      <c r="D31" s="85"/>
      <c r="E31" s="85"/>
      <c r="F31" s="85"/>
      <c r="G31" s="85"/>
      <c r="H31" s="85"/>
      <c r="I31" s="85"/>
      <c r="J31" s="85"/>
      <c r="K31" s="85"/>
      <c r="L31" s="85"/>
      <c r="M31" s="85"/>
      <c r="N31" s="85"/>
    </row>
    <row r="32" spans="2:14" ht="21.75" customHeight="1" x14ac:dyDescent="0.25"/>
    <row r="34" spans="2:14" x14ac:dyDescent="0.25">
      <c r="B34" s="72" t="s">
        <v>14</v>
      </c>
      <c r="C34" s="72"/>
      <c r="D34" s="72"/>
      <c r="E34" s="72"/>
      <c r="F34" s="72"/>
      <c r="G34" s="72"/>
      <c r="H34" s="72"/>
      <c r="I34" s="72"/>
      <c r="J34" s="72"/>
      <c r="K34" s="72"/>
      <c r="L34" s="72"/>
      <c r="M34" s="72"/>
      <c r="N34" s="72"/>
    </row>
  </sheetData>
  <sheetProtection algorithmName="SHA-512" hashValue="tQea9nw2wORBc7MpjdFIBrwB9/Hm0DKHKdreT4Zj9hutQvsv6dVU2npaDlRQymDaN37uwQiTqh7sGhpHELOw4Q==" saltValue="y84JCQf+tQ3Wtl+LVnGyhA==" spinCount="100000" sheet="1" objects="1" scenarios="1" selectLockedCells="1"/>
  <mergeCells count="8">
    <mergeCell ref="B31:N31"/>
    <mergeCell ref="B34:N34"/>
    <mergeCell ref="G2:N2"/>
    <mergeCell ref="C12:D12"/>
    <mergeCell ref="B22:F22"/>
    <mergeCell ref="B28:N28"/>
    <mergeCell ref="B29:N29"/>
    <mergeCell ref="E5:G5"/>
  </mergeCells>
  <hyperlinks>
    <hyperlink ref="B15" r:id="rId1" display="Will you use DU Health &amp; Counseling Services? " xr:uid="{00000000-0004-0000-0300-000000000000}"/>
    <hyperlink ref="B14" r:id="rId2" display="Will you enroll in DU's health insurance plan?" xr:uid="{00000000-0004-0000-0300-000001000000}"/>
  </hyperlinks>
  <pageMargins left="0.5" right="0.5" top="0.5" bottom="0.5" header="0.3" footer="0.3"/>
  <pageSetup scale="72" orientation="portrait" r:id="rId3"/>
  <drawing r:id="rId4"/>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Data!$E$24:$E$41</xm:f>
          </x14:formula1>
          <xm:sqref>I8 K8 M8</xm:sqref>
        </x14:dataValidation>
        <x14:dataValidation type="list" allowBlank="1" showInputMessage="1" showErrorMessage="1" xr:uid="{00000000-0002-0000-0300-000001000000}">
          <x14:formula1>
            <xm:f>Data!$A$27:$A$28</xm:f>
          </x14:formula1>
          <xm:sqref>E5:G5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O34"/>
  <sheetViews>
    <sheetView showGridLines="0" showRowColHeaders="0" showRuler="0" zoomScaleNormal="100" workbookViewId="0">
      <selection activeCell="G5" sqref="G5:I5"/>
    </sheetView>
  </sheetViews>
  <sheetFormatPr defaultColWidth="8.85546875" defaultRowHeight="15" x14ac:dyDescent="0.25"/>
  <cols>
    <col min="1" max="1" width="4.140625" customWidth="1"/>
    <col min="4" max="4" width="14" customWidth="1"/>
    <col min="5" max="5" width="13.85546875" customWidth="1"/>
    <col min="6" max="6" width="4.28515625" customWidth="1"/>
    <col min="7" max="7" width="15" style="5" customWidth="1"/>
    <col min="8" max="8" width="2.85546875" customWidth="1"/>
    <col min="9" max="9" width="15" style="5" customWidth="1"/>
    <col min="10" max="10" width="2.85546875" customWidth="1"/>
    <col min="11" max="11" width="15" style="5" customWidth="1"/>
    <col min="12" max="12" width="2.85546875" style="5" customWidth="1"/>
    <col min="13" max="13" width="15" style="5" customWidth="1"/>
    <col min="14" max="14" width="2.85546875" style="5" customWidth="1"/>
    <col min="15" max="15" width="15" style="5" customWidth="1"/>
  </cols>
  <sheetData>
    <row r="1" spans="2:15" ht="17.25" customHeight="1" x14ac:dyDescent="0.25"/>
    <row r="2" spans="2:15" ht="47.25" customHeight="1" x14ac:dyDescent="0.35">
      <c r="G2" s="73" t="s">
        <v>88</v>
      </c>
      <c r="H2" s="73"/>
      <c r="I2" s="73"/>
      <c r="J2" s="73"/>
      <c r="K2" s="73"/>
      <c r="L2" s="73"/>
      <c r="M2" s="73"/>
      <c r="N2" s="73"/>
      <c r="O2" s="73"/>
    </row>
    <row r="3" spans="2:15" ht="8.25" customHeight="1" x14ac:dyDescent="0.25">
      <c r="B3" s="21"/>
      <c r="C3" s="21"/>
      <c r="D3" s="21"/>
      <c r="E3" s="21"/>
      <c r="F3" s="21"/>
      <c r="G3" s="22"/>
      <c r="H3" s="23"/>
      <c r="I3" s="23"/>
      <c r="J3" s="23"/>
      <c r="K3" s="23"/>
      <c r="L3" s="23"/>
      <c r="M3" s="23"/>
      <c r="N3" s="23"/>
      <c r="O3" s="23"/>
    </row>
    <row r="4" spans="2:15" ht="9.75" customHeight="1" x14ac:dyDescent="0.25"/>
    <row r="5" spans="2:15" ht="18" customHeight="1" x14ac:dyDescent="0.3">
      <c r="B5" s="6" t="s">
        <v>49</v>
      </c>
      <c r="D5" s="32"/>
      <c r="E5" s="32"/>
      <c r="F5" s="32"/>
      <c r="G5" s="93"/>
      <c r="H5" s="94"/>
      <c r="I5" s="95"/>
    </row>
    <row r="6" spans="2:15" ht="9.75" customHeight="1" x14ac:dyDescent="0.25"/>
    <row r="7" spans="2:15" ht="15" customHeight="1" x14ac:dyDescent="0.25">
      <c r="I7" s="69" t="s">
        <v>79</v>
      </c>
      <c r="J7" s="40"/>
      <c r="K7" s="69" t="s">
        <v>80</v>
      </c>
      <c r="L7" s="41"/>
      <c r="M7" s="69" t="s">
        <v>81</v>
      </c>
      <c r="N7" s="41"/>
      <c r="O7" s="69" t="s">
        <v>89</v>
      </c>
    </row>
    <row r="8" spans="2:15" ht="18" customHeight="1" x14ac:dyDescent="0.3">
      <c r="C8" s="6" t="s">
        <v>42</v>
      </c>
      <c r="E8" s="32"/>
      <c r="F8" s="32"/>
      <c r="G8" s="32"/>
      <c r="H8" s="32"/>
      <c r="I8" s="66"/>
      <c r="K8" s="67"/>
      <c r="L8"/>
      <c r="M8" s="68"/>
      <c r="N8"/>
      <c r="O8" s="68"/>
    </row>
    <row r="9" spans="2:15" ht="18.75" customHeight="1" x14ac:dyDescent="0.25"/>
    <row r="10" spans="2:15" ht="15.75" thickBot="1" x14ac:dyDescent="0.3">
      <c r="B10" s="1" t="s">
        <v>7</v>
      </c>
      <c r="C10" s="2"/>
      <c r="D10" s="2"/>
      <c r="E10" s="2"/>
      <c r="F10" s="2"/>
      <c r="G10" s="4" t="s">
        <v>3</v>
      </c>
      <c r="H10" s="3"/>
      <c r="I10" s="4" t="s">
        <v>82</v>
      </c>
      <c r="J10" s="3"/>
      <c r="K10" s="4" t="s">
        <v>83</v>
      </c>
      <c r="L10" s="4"/>
      <c r="M10" s="4" t="s">
        <v>84</v>
      </c>
      <c r="N10" s="4"/>
      <c r="O10" s="4" t="s">
        <v>90</v>
      </c>
    </row>
    <row r="11" spans="2:15" ht="9" customHeight="1" x14ac:dyDescent="0.25"/>
    <row r="12" spans="2:15" ht="21.75" customHeight="1" x14ac:dyDescent="0.25">
      <c r="B12" s="11" t="s">
        <v>1</v>
      </c>
      <c r="C12" s="78"/>
      <c r="D12" s="78"/>
      <c r="E12" s="12"/>
      <c r="F12" s="12"/>
      <c r="G12" s="13">
        <f>I12+K12+M12+O12</f>
        <v>0</v>
      </c>
      <c r="H12" s="12"/>
      <c r="I12" s="13">
        <f>IF(G5="2020 Summer Quarter or Later",(VLOOKUP(I8,Data!J24:L41,3,FALSE)),IF(G5="Prior to 2020 Summer Quarter",(VLOOKUP(I8,Data!J24:K41,2,FALSE)),0))</f>
        <v>0</v>
      </c>
      <c r="J12" s="12"/>
      <c r="K12" s="13">
        <f>IF(G5="2020 Summer Quarter or Later",(VLOOKUP(K8,Data!J24:L41,3,FALSE)),IF(G5="Prior to 2020 Summer Quarter",(VLOOKUP(K8,Data!J24:K41,2,FALSE)),0))</f>
        <v>0</v>
      </c>
      <c r="L12" s="13"/>
      <c r="M12" s="13">
        <f>IF(G5="2020 Summer Quarter or Later",(VLOOKUP(M8,Data!J24:L41,3,FALSE)),IF(G5="Prior to 2020 Summer Quarter",(VLOOKUP(M8,Data!J24:K41,2,FALSE)),0))</f>
        <v>0</v>
      </c>
      <c r="N12" s="13"/>
      <c r="O12" s="13">
        <f>IF(G5="2020 Summer Quarter or Later",(VLOOKUP(O8,Data!J24:L41,3,FALSE)),IF(G5="Prior to 2020 Summer Quarter",(VLOOKUP(O8,Data!J24:K41,2,FALSE)),0))</f>
        <v>0</v>
      </c>
    </row>
    <row r="13" spans="2:15" ht="21.75" customHeight="1" x14ac:dyDescent="0.25">
      <c r="B13" s="42" t="s">
        <v>2</v>
      </c>
      <c r="C13" s="43"/>
      <c r="D13" s="43"/>
      <c r="E13" s="43"/>
      <c r="F13" s="43"/>
      <c r="G13" s="44" t="e">
        <f>I13+K13+M13+O13</f>
        <v>#N/A</v>
      </c>
      <c r="H13" s="43"/>
      <c r="I13" s="44" t="e">
        <f>VLOOKUP(I8,Data!J24:M41,4,FALSE)</f>
        <v>#N/A</v>
      </c>
      <c r="J13" s="43"/>
      <c r="K13" s="44" t="e">
        <f>VLOOKUP(K8,Data!J24:M41,4,FALSE)</f>
        <v>#N/A</v>
      </c>
      <c r="L13" s="44"/>
      <c r="M13" s="44" t="e">
        <f>VLOOKUP(M8,Data!J24:M41,4,FALSE)</f>
        <v>#N/A</v>
      </c>
      <c r="N13" s="44"/>
      <c r="O13" s="44" t="e">
        <f>VLOOKUP(O8,Data!J24:M41,4,FALSE)</f>
        <v>#N/A</v>
      </c>
    </row>
    <row r="14" spans="2:15" ht="21.75" customHeight="1" x14ac:dyDescent="0.25">
      <c r="B14" s="21"/>
      <c r="C14" s="47" t="s">
        <v>6</v>
      </c>
      <c r="D14" s="21"/>
      <c r="E14" s="21"/>
      <c r="F14" s="21"/>
      <c r="G14" s="48" t="e">
        <f>SUM(G12:G13)</f>
        <v>#N/A</v>
      </c>
      <c r="H14" s="21"/>
      <c r="I14" s="48" t="e">
        <f>SUM(I12:I13)</f>
        <v>#N/A</v>
      </c>
      <c r="J14" s="21"/>
      <c r="K14" s="48" t="e">
        <f>SUM(K12:K13)</f>
        <v>#N/A</v>
      </c>
      <c r="L14" s="48"/>
      <c r="M14" s="48" t="e">
        <f>SUM(M12:M13)</f>
        <v>#N/A</v>
      </c>
      <c r="N14" s="48"/>
      <c r="O14" s="48" t="e">
        <f>SUM(O12:O13)</f>
        <v>#N/A</v>
      </c>
    </row>
    <row r="15" spans="2:15" ht="24" customHeight="1" x14ac:dyDescent="0.25"/>
    <row r="16" spans="2:15" ht="15.75" thickBot="1" x14ac:dyDescent="0.3">
      <c r="B16" s="1" t="s">
        <v>11</v>
      </c>
      <c r="C16" s="2"/>
      <c r="D16" s="2"/>
      <c r="E16" s="2"/>
      <c r="F16" s="2"/>
      <c r="G16" s="4" t="s">
        <v>3</v>
      </c>
      <c r="H16" s="3"/>
      <c r="I16" s="4" t="s">
        <v>82</v>
      </c>
      <c r="J16" s="3"/>
      <c r="K16" s="4" t="s">
        <v>83</v>
      </c>
      <c r="L16" s="4"/>
      <c r="M16" s="4" t="s">
        <v>84</v>
      </c>
      <c r="N16" s="4"/>
      <c r="O16" s="4" t="s">
        <v>90</v>
      </c>
    </row>
    <row r="17" spans="2:15" ht="21.75" customHeight="1" x14ac:dyDescent="0.25">
      <c r="B17" t="s">
        <v>16</v>
      </c>
      <c r="G17" s="17"/>
      <c r="I17" s="5">
        <f>IF((AND(I8&lt;&gt;"not enrolled",K8&lt;&gt;"not enrolled",M8&lt;&gt;"not enrolled",O8&lt;&gt;"not enrolled")),(G17/4), IF((AND(I8&lt;&gt;"not enrolled",K8&lt;&gt;"not enrolled",M8&lt;&gt;"not enrolled",O8="not enrolled")),(G17/3), IF((AND(I8&lt;&gt;"not enrolled",K8&lt;&gt;"not enrolled",M8="not enrolled",O8="not enrolled")),(G17/2), IF((AND(I8&lt;&gt;"not enrolled",K8="not enrolled",M8="not enrolled",O8="not enrolled")),(G17/1), 0))))</f>
        <v>0</v>
      </c>
      <c r="K17" s="5">
        <f>IF((AND(I8&lt;&gt;"not enrolled",K8&lt;&gt;"not enrolled",M8&lt;&gt;"not enrolled",O8&lt;&gt;"not enrolled")),(G17/4), IF((AND(I8&lt;&gt;"not enrolled",K8&lt;&gt;"not enrolled",M8&lt;&gt;"not enrolled",O8="not enrolled")),(G17/3), IF((AND(I8="not enrolled",K8&lt;&gt;"not enrolled",M8&lt;&gt;"not enrolled",O8&lt;&gt;"not enrolled")),(G17/3), IF((AND(I8&lt;&gt;"not enrolled",K8&lt;&gt;"not enrolled",M8="not enrolled",O8="not enrolled")),(G17/2), 0))))</f>
        <v>0</v>
      </c>
      <c r="M17" s="5">
        <f>IF((AND(I8&lt;&gt;"not enrolled",K8&lt;&gt;"not enrolled",M8&lt;&gt;"not enrolled",O8&lt;&gt;"not enrolled")),(G17/4), IF((AND(I8&lt;&gt;"not enrolled",K8&lt;&gt;"not enrolled",M8&lt;&gt;"not enrolled",O8="not enrolled")),(G17/3), IF((AND(I8="not enrolled",K8&lt;&gt;"not enrolled",M8&lt;&gt;"not enrolled",O8&lt;&gt;"not enrolled")),(G17/3), IF((AND(I8="not enrolled",K8="not enrolled",M8&lt;&gt;"not enrolled",O8&lt;&gt;"not enrolled")),(G17/2), 0))))</f>
        <v>0</v>
      </c>
      <c r="O17" s="5">
        <f>IF((AND(I8&lt;&gt;"not enrolled",K8&lt;&gt;"not enrolled",M8&lt;&gt;"not enrolled",O8&lt;&gt;"not enrolled")),(G17/4), IF((AND(I8="not enrolled",K8&lt;&gt;"not enrolled",M8&lt;&gt;"not enrolled",O8&lt;&gt;"not enrolled")),(G17/3), IF((AND(I8="not enrolled",K8="not enrolled",M8&lt;&gt;"not enrolled",O8&lt;&gt;"not enrolled")),(G17/2),  IF((AND(I8="not enrolled",K8="not enrolled",M8="not enrolled",O8&lt;&gt;"not enrolled")),(G17), 0))))</f>
        <v>0</v>
      </c>
    </row>
    <row r="18" spans="2:15" ht="21.75" customHeight="1" x14ac:dyDescent="0.25">
      <c r="B18" s="12" t="s">
        <v>8</v>
      </c>
      <c r="C18" s="12"/>
      <c r="D18" s="12"/>
      <c r="E18" s="12"/>
      <c r="F18" s="12"/>
      <c r="G18" s="18"/>
      <c r="H18" s="12"/>
      <c r="I18" s="13">
        <f>IF((AND(I8&lt;&gt;"not enrolled",K8&lt;&gt;"not enrolled",M8&lt;&gt;"not enrolled",O8&lt;&gt;"not enrolled")),(G18/4), IF((AND(I8&lt;&gt;"not enrolled",K8&lt;&gt;"not enrolled",M8&lt;&gt;"not enrolled",O8="not enrolled")),(G18/3), IF((AND(I8&lt;&gt;"not enrolled",K8&lt;&gt;"not enrolled",M8="not enrolled",O8="not enrolled")),(G18/2), IF((AND(I8&lt;&gt;"not enrolled",K8="not enrolled",M8="not enrolled",O8="not enrolled")),(G18/1), 0))))</f>
        <v>0</v>
      </c>
      <c r="J18" s="12"/>
      <c r="K18" s="13">
        <f>IF((AND(I8&lt;&gt;"not enrolled",K8&lt;&gt;"not enrolled",M8&lt;&gt;"not enrolled",O8&lt;&gt;"not enrolled")),(G18/4), IF((AND(I8&lt;&gt;"not enrolled",K8&lt;&gt;"not enrolled",M8&lt;&gt;"not enrolled",O8="not enrolled")),(G18/3), IF((AND(I8="not enrolled",K8&lt;&gt;"not enrolled",M8&lt;&gt;"not enrolled",O8&lt;&gt;"not enrolled")),(G18/3), IF((AND(I8&lt;&gt;"not enrolled",K8&lt;&gt;"not enrolled",M8="not enrolled",O8="not enrolled")),(G18/2), 0))))</f>
        <v>0</v>
      </c>
      <c r="L18" s="13"/>
      <c r="M18" s="13">
        <f>IF((AND(I8&lt;&gt;"not enrolled",K8&lt;&gt;"not enrolled",M8&lt;&gt;"not enrolled",O8&lt;&gt;"not enrolled")),(G18/4), IF((AND(I8&lt;&gt;"not enrolled",K8&lt;&gt;"not enrolled",M8&lt;&gt;"not enrolled",O8="not enrolled")),(G18/3), IF((AND(I8="not enrolled",K8&lt;&gt;"not enrolled",M8&lt;&gt;"not enrolled",O8&lt;&gt;"not enrolled")),(G18/3), IF((AND(I8="not enrolled",K8="not enrolled",M8&lt;&gt;"not enrolled",O8&lt;&gt;"not enrolled")),(G18/2), 0))))</f>
        <v>0</v>
      </c>
      <c r="N18" s="13"/>
      <c r="O18" s="13">
        <f>IF((AND(I8&lt;&gt;"not enrolled",K8&lt;&gt;"not enrolled",M8&lt;&gt;"not enrolled",O8&lt;&gt;"not enrolled")),(G18/4), IF((AND(I8="not enrolled",K8&lt;&gt;"not enrolled",M8&lt;&gt;"not enrolled",O8&lt;&gt;"not enrolled")),(G18/3), IF((AND(I8="not enrolled",K8="not enrolled",M8&lt;&gt;"not enrolled",O8&lt;&gt;"not enrolled")),(G18/2),  IF((AND(I8="not enrolled",K8="not enrolled",M8="not enrolled",O8&lt;&gt;"not enrolled")),(G18), 0))))</f>
        <v>0</v>
      </c>
    </row>
    <row r="19" spans="2:15" ht="21.75" customHeight="1" x14ac:dyDescent="0.25">
      <c r="B19" t="s">
        <v>19</v>
      </c>
      <c r="E19" s="19"/>
      <c r="G19" s="5">
        <f>SUM(I19,K19,M19,O19)</f>
        <v>0</v>
      </c>
      <c r="I19" s="5">
        <f>IF((AND(I8&lt;&gt;"not enrolled",K8&lt;&gt;"not enrolled",M8&lt;&gt;"not enrolled",O8&lt;&gt;"not enrolled")),ROUND(((E19-(E19*0.01057))/4),0), IF((AND(I8&lt;&gt;"not enrolled",K8&lt;&gt;"not enrolled",M8&lt;&gt;"not enrolled",O8="not enrolled")),ROUND(((E19-(E19*0.01057))/3),0), IF((AND(I8&lt;&gt;"not enrolled",K8&lt;&gt;"not enrolled",M8="not enrolled",O8="not enrolled")),ROUND(((E19-(E19*0.01057))/2),0), IF((AND(I8&lt;&gt;"not enrolled",K8="not enrolled",M8="not enrolled",O8="not enrolled")),ROUND(((E19-(E19*0.01057))/1),0), 0))))</f>
        <v>0</v>
      </c>
      <c r="K19" s="5">
        <f>IF((AND(I8&lt;&gt;"not enrolled",K8&lt;&gt;"not enrolled",M8&lt;&gt;"not enrolled",O8&lt;&gt;"not enrolled")),ROUND(((E19-(E19*0.01057))/4),0), IF((AND(I8&lt;&gt;"not enrolled",K8&lt;&gt;"not enrolled",M8&lt;&gt;"not enrolled",O8="not enrolled")),ROUND(((E19-(E19*0.01057))/3),0), IF((AND(I8="not enrolled",K8&lt;&gt;"not enrolled",M8&lt;&gt;"not enrolled",O8&lt;&gt;"not enrolled")),ROUND(((E19-(E19*0.01057))/3),0), IF((AND(I8&lt;&gt;"not enrolled",K8&lt;&gt;"not enrolled",M8="not enrolled",O8="not enrolled")),ROUND(((E19-(E19*0.01057))/2),0), 0))))</f>
        <v>0</v>
      </c>
      <c r="M19" s="5">
        <f>IF((AND(I8&lt;&gt;"not enrolled",K8&lt;&gt;"not enrolled",M8&lt;&gt;"not enrolled",O8&lt;&gt;"not enrolled")),ROUND(((E19-(E19*0.01057))/4),0), IF((AND(I8&lt;&gt;"not enrolled",K8&lt;&gt;"not enrolled",M8&lt;&gt;"not enrolled",O8="not enrolled")),ROUND(((E19-(E19*0.01057))/3),0), IF((AND(I8="not enrolled",K8&lt;&gt;"not enrolled",M8&lt;&gt;"not enrolled",O8&lt;&gt;"not enrolled")),ROUND(((E19-(E19*0.01057))/3),0), IF((AND(I8="not enrolled",K8="not enrolled",M8&lt;&gt;"not enrolled",O8&lt;&gt;"not enrolled")),ROUND(((E19-(E19*0.01057))/2),0), 0))))</f>
        <v>0</v>
      </c>
      <c r="O19" s="5">
        <f>IF((AND(I8&lt;&gt;"not enrolled",K8&lt;&gt;"not enrolled",M8&lt;&gt;"not enrolled",O8&lt;&gt;"not enrolled")),ROUND(((E19-(E19*0.01057))/4),0), IF((AND(I8="not enrolled",K8&lt;&gt;"not enrolled",M8&lt;&gt;"not enrolled",O8&lt;&gt;"not enrolled")),ROUND(((E19-(E19*0.01057))/3),0), IF((AND(I8="not enrolled",K8="not enrolled",M8&lt;&gt;"not enrolled",O8&lt;&gt;"not enrolled")),ROUND(((E19-(E19*0.01057))/2),0),  IF((AND(I8="not enrolled",K8="not enrolled",M8="not enrolled",O8&lt;&gt;"not enrolled")),ROUND(((E19-(E19*0.01057))/1),0), 0))))</f>
        <v>0</v>
      </c>
    </row>
    <row r="20" spans="2:15" ht="21.75" customHeight="1" x14ac:dyDescent="0.25">
      <c r="B20" s="12" t="s">
        <v>20</v>
      </c>
      <c r="C20" s="12"/>
      <c r="D20" s="12"/>
      <c r="E20" s="19"/>
      <c r="F20" s="12"/>
      <c r="G20" s="13">
        <f>SUM(I20,K20,M20,O20)</f>
        <v>0</v>
      </c>
      <c r="H20" s="12"/>
      <c r="I20" s="13">
        <f>IF((AND(I8&lt;&gt;"not enrolled",K8&lt;&gt;"not enrolled",M8&lt;&gt;"not enrolled",O8&lt;&gt;"not enrolled")),ROUND(((E20-(E20*0.04228))/4),0), IF((AND(I8&lt;&gt;"not enrolled",K8&lt;&gt;"not enrolled",M8&lt;&gt;"not enrolled",O8="not enrolled")),ROUND(((E20-(E20*0.04228))/3),0), IF((AND(I8&lt;&gt;"not enrolled",K8&lt;&gt;"not enrolled",M8="not enrolled",O8="not enrolled")),ROUND(((E20-(E20*0.04228))/2),0), IF((AND(I8&lt;&gt;"not enrolled",K8="not enrolled",M8="not enrolled",O8="not enrolled")),ROUND(((E20-(E20*0.04228))/1),0), 0))))</f>
        <v>0</v>
      </c>
      <c r="J20" s="12"/>
      <c r="K20" s="13">
        <f>IF((AND(I8&lt;&gt;"not enrolled",K8&lt;&gt;"not enrolled",M8&lt;&gt;"not enrolled",O8&lt;&gt;"not enrolled")),ROUND(((E20-(E20*0.04228))/4),0), IF((AND(I8&lt;&gt;"not enrolled",K8&lt;&gt;"not enrolled",M8&lt;&gt;"not enrolled",O8="not enrolled")),ROUND(((E20-(E20*0.04228))/3),0), IF((AND(I8="not enrolled",K8&lt;&gt;"not enrolled",M8&lt;&gt;"not enrolled",O8&lt;&gt;"not enrolled")),ROUND(((E20-(E20*0.04228))/3),0), IF((AND(I8&lt;&gt;"not enrolled",K8&lt;&gt;"not enrolled",M8="not enrolled",O8="not enrolled")),ROUND(((E20-(E20*0.04228))/2),0), 0))))</f>
        <v>0</v>
      </c>
      <c r="L20" s="13"/>
      <c r="M20" s="13">
        <f>IF((AND(I8&lt;&gt;"not enrolled",K8&lt;&gt;"not enrolled",M8&lt;&gt;"not enrolled",O8&lt;&gt;"not enrolled")),ROUND(((E20-(E20*0.04228))/4),0), IF((AND(I8&lt;&gt;"not enrolled",K8&lt;&gt;"not enrolled",M8&lt;&gt;"not enrolled",O8="not enrolled")),ROUND(((E20-(E20*0.04228))/3),0), IF((AND(I8="not enrolled",K8&lt;&gt;"not enrolled",M8&lt;&gt;"not enrolled",O8&lt;&gt;"not enrolled")),ROUND(((E20-(E20*0.04228))/3),0), IF((AND(I8="not enrolled",K8="not enrolled",M8&lt;&gt;"not enrolled",O8&lt;&gt;"not enrolled")),ROUND(((E20-(E20*0.04228))/2),0), 0))))</f>
        <v>0</v>
      </c>
      <c r="N20" s="13"/>
      <c r="O20" s="13">
        <f>IF((AND(I8&lt;&gt;"not enrolled",K8&lt;&gt;"not enrolled",M8&lt;&gt;"not enrolled",O8&lt;&gt;"not enrolled")),ROUND(((E20-(E20*0.04228))/4),0), IF((AND(I8="not enrolled",K8&lt;&gt;"not enrolled",M8&lt;&gt;"not enrolled",O8&lt;&gt;"not enrolled")),ROUND(((E20-(E20*0.04228))/3),0), IF((AND(I8="not enrolled",K8="not enrolled",M8&lt;&gt;"not enrolled",O8&lt;&gt;"not enrolled")),ROUND(((E20-(E20*0.04228))/2),0),  IF((AND(I8="not enrolled",K8="not enrolled",M8="not enrolled",O8&lt;&gt;"not enrolled")),ROUND(((E20-(E20*0.04228))/1),0), 0))))</f>
        <v>0</v>
      </c>
    </row>
    <row r="21" spans="2:15" ht="21.75" customHeight="1" x14ac:dyDescent="0.25">
      <c r="B21" t="s">
        <v>9</v>
      </c>
      <c r="G21" s="18"/>
      <c r="I21" s="5">
        <f>IF((AND(I8&lt;&gt;"not enrolled",K8&lt;&gt;"not enrolled",M8&lt;&gt;"not enrolled",O8&lt;&gt;"not enrolled")),(G21/4), IF((AND(I8&lt;&gt;"not enrolled",K8&lt;&gt;"not enrolled",M8&lt;&gt;"not enrolled",O8="not enrolled")),(G21/3), IF((AND(I8&lt;&gt;"not enrolled",K8&lt;&gt;"not enrolled",M8="not enrolled",O8="not enrolled")),(G21/2), IF((AND(I8&lt;&gt;"not enrolled",K8="not enrolled",M8="not enrolled",O8="not enrolled")),(G21/1), 0))))</f>
        <v>0</v>
      </c>
      <c r="K21" s="5">
        <f>IF((AND(I8&lt;&gt;"not enrolled",K8&lt;&gt;"not enrolled",M8&lt;&gt;"not enrolled",O8&lt;&gt;"not enrolled")),(G21/4), IF((AND(I8&lt;&gt;"not enrolled",K8&lt;&gt;"not enrolled",M8&lt;&gt;"not enrolled",O8="not enrolled")),(G21/3), IF((AND(I8="not enrolled",K8&lt;&gt;"not enrolled",M8&lt;&gt;"not enrolled",O8&lt;&gt;"not enrolled")),(G21/3), IF((AND(I8&lt;&gt;"not enrolled",K8&lt;&gt;"not enrolled",M8="not enrolled",O8="not enrolled")),(G21/2), 0))))</f>
        <v>0</v>
      </c>
      <c r="M21" s="5">
        <f>IF((AND(I8&lt;&gt;"not enrolled",K8&lt;&gt;"not enrolled",M8&lt;&gt;"not enrolled",O8&lt;&gt;"not enrolled")),(G21/4), IF((AND(I8&lt;&gt;"not enrolled",K8&lt;&gt;"not enrolled",M8&lt;&gt;"not enrolled",O8="not enrolled")),(G21/3), IF((AND(I8="not enrolled",K8&lt;&gt;"not enrolled",M8&lt;&gt;"not enrolled",O8&lt;&gt;"not enrolled")),(G21/3), IF((AND(I8="not enrolled",K8="not enrolled",M8&lt;&gt;"not enrolled",O8&lt;&gt;"not enrolled")),(G21/2), 0))))</f>
        <v>0</v>
      </c>
      <c r="O21" s="5">
        <f>IF((AND(I8&lt;&gt;"not enrolled",K8&lt;&gt;"not enrolled",M8&lt;&gt;"not enrolled",O8&lt;&gt;"not enrolled")),(G21/4), IF((AND(I8="not enrolled",K8&lt;&gt;"not enrolled",M8&lt;&gt;"not enrolled",O8&lt;&gt;"not enrolled")),(G21/3), IF((AND(I8="not enrolled",K8="not enrolled",M8&lt;&gt;"not enrolled",O8&lt;&gt;"not enrolled")),(G21/2),  IF((AND(I8="not enrolled",K8="not enrolled",M8="not enrolled",O8&lt;&gt;"not enrolled")),(G21), 0))))</f>
        <v>0</v>
      </c>
    </row>
    <row r="22" spans="2:15" ht="21.75" customHeight="1" x14ac:dyDescent="0.25">
      <c r="B22" s="84" t="s">
        <v>23</v>
      </c>
      <c r="C22" s="84"/>
      <c r="D22" s="84"/>
      <c r="E22" s="84"/>
      <c r="F22" s="84"/>
      <c r="G22" s="31">
        <f>I22+K22+M22+O22</f>
        <v>0</v>
      </c>
      <c r="H22" s="30"/>
      <c r="I22" s="20"/>
      <c r="J22" s="30"/>
      <c r="K22" s="20"/>
      <c r="L22" s="38"/>
      <c r="M22" s="20"/>
      <c r="N22" s="38"/>
      <c r="O22" s="20"/>
    </row>
    <row r="23" spans="2:15" ht="21.75" customHeight="1" x14ac:dyDescent="0.25">
      <c r="C23" s="9" t="s">
        <v>10</v>
      </c>
      <c r="G23" s="5">
        <f>SUM(G17:G22)</f>
        <v>0</v>
      </c>
      <c r="I23" s="5">
        <f>SUM(I17:I22)</f>
        <v>0</v>
      </c>
      <c r="K23" s="5">
        <f>SUM(K17:K22)</f>
        <v>0</v>
      </c>
      <c r="M23" s="5">
        <f>SUM(M17:M22)</f>
        <v>0</v>
      </c>
      <c r="O23" s="5">
        <f>SUM(O17:O22)</f>
        <v>0</v>
      </c>
    </row>
    <row r="24" spans="2:15" ht="15.75" thickBot="1" x14ac:dyDescent="0.3"/>
    <row r="25" spans="2:15" ht="21.75" customHeight="1" thickTop="1" thickBot="1" x14ac:dyDescent="0.35">
      <c r="B25" s="16" t="s">
        <v>12</v>
      </c>
      <c r="C25" s="15"/>
      <c r="D25" s="15"/>
      <c r="E25" s="15"/>
      <c r="F25" s="15"/>
      <c r="G25" s="27" t="e">
        <f>G14-G23</f>
        <v>#N/A</v>
      </c>
      <c r="H25" s="28"/>
      <c r="I25" s="27" t="e">
        <f>I14-I23</f>
        <v>#N/A</v>
      </c>
      <c r="J25" s="28"/>
      <c r="K25" s="27" t="e">
        <f>K14-K23</f>
        <v>#N/A</v>
      </c>
      <c r="L25" s="27"/>
      <c r="M25" s="27" t="e">
        <f>M14-M23</f>
        <v>#N/A</v>
      </c>
      <c r="N25" s="27"/>
      <c r="O25" s="27" t="e">
        <f>O14-O23</f>
        <v>#N/A</v>
      </c>
    </row>
    <row r="26" spans="2:15" ht="15.75" thickTop="1" x14ac:dyDescent="0.25"/>
    <row r="27" spans="2:15" x14ac:dyDescent="0.25">
      <c r="B27" s="9" t="s">
        <v>13</v>
      </c>
    </row>
    <row r="28" spans="2:15" ht="21" customHeight="1" x14ac:dyDescent="0.25">
      <c r="B28" s="60" t="s">
        <v>91</v>
      </c>
      <c r="C28" s="60"/>
      <c r="D28" s="60"/>
      <c r="E28" s="60"/>
      <c r="F28" s="60"/>
      <c r="G28" s="60"/>
      <c r="H28" s="60"/>
      <c r="I28" s="60"/>
      <c r="J28" s="60"/>
      <c r="K28" s="60"/>
      <c r="L28" s="60"/>
      <c r="M28" s="60"/>
      <c r="N28" s="60"/>
      <c r="O28" s="61"/>
    </row>
    <row r="29" spans="2:15" ht="21.75" customHeight="1" x14ac:dyDescent="0.25">
      <c r="B29" s="83" t="s">
        <v>18</v>
      </c>
      <c r="C29" s="83"/>
      <c r="D29" s="83"/>
      <c r="E29" s="83"/>
      <c r="F29" s="83"/>
      <c r="G29" s="83"/>
      <c r="H29" s="83"/>
      <c r="I29" s="83"/>
      <c r="J29" s="83"/>
      <c r="K29" s="83"/>
      <c r="L29" s="83"/>
      <c r="M29" s="83"/>
      <c r="N29" s="83"/>
      <c r="O29" s="83"/>
    </row>
    <row r="30" spans="2:15" ht="21.75" customHeight="1" x14ac:dyDescent="0.25">
      <c r="B30" t="s">
        <v>59</v>
      </c>
    </row>
    <row r="31" spans="2:15" ht="51" customHeight="1" x14ac:dyDescent="0.25">
      <c r="B31" s="85" t="s">
        <v>60</v>
      </c>
      <c r="C31" s="85"/>
      <c r="D31" s="85"/>
      <c r="E31" s="85"/>
      <c r="F31" s="85"/>
      <c r="G31" s="85"/>
      <c r="H31" s="85"/>
      <c r="I31" s="85"/>
      <c r="J31" s="85"/>
      <c r="K31" s="85"/>
      <c r="L31" s="85"/>
      <c r="M31" s="85"/>
      <c r="N31" s="85"/>
      <c r="O31" s="85"/>
    </row>
    <row r="32" spans="2:15" ht="21.75" customHeight="1" x14ac:dyDescent="0.25"/>
    <row r="34" spans="2:15" x14ac:dyDescent="0.25">
      <c r="B34" s="72" t="s">
        <v>14</v>
      </c>
      <c r="C34" s="72"/>
      <c r="D34" s="72"/>
      <c r="E34" s="72"/>
      <c r="F34" s="72"/>
      <c r="G34" s="72"/>
      <c r="H34" s="72"/>
      <c r="I34" s="72"/>
      <c r="J34" s="72"/>
      <c r="K34" s="72"/>
      <c r="L34" s="72"/>
      <c r="M34" s="72"/>
      <c r="N34" s="72"/>
      <c r="O34" s="72"/>
    </row>
  </sheetData>
  <sheetProtection algorithmName="SHA-512" hashValue="/qV+guJv1RI6NT9prycCEv8xdNfk9L7tMkx/QehBGmjJ8grQxLFLtj3pr/RsZ84NRJeT4J1wqgqqfhDMCXgvlw==" saltValue="feSLavELpoKryA0LL3+wEQ==" spinCount="100000" sheet="1" objects="1" scenarios="1" selectLockedCells="1"/>
  <mergeCells count="7">
    <mergeCell ref="B31:O31"/>
    <mergeCell ref="B34:O34"/>
    <mergeCell ref="G5:I5"/>
    <mergeCell ref="G2:O2"/>
    <mergeCell ref="C12:D12"/>
    <mergeCell ref="B22:F22"/>
    <mergeCell ref="B29:O29"/>
  </mergeCells>
  <pageMargins left="0.5" right="0.5" top="0.5" bottom="0.5" header="0.3" footer="0.3"/>
  <pageSetup scale="72"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Data!$J$24:$J$41</xm:f>
          </x14:formula1>
          <xm:sqref>O8 I8 K8 M8</xm:sqref>
        </x14:dataValidation>
        <x14:dataValidation type="list" allowBlank="1" showInputMessage="1" showErrorMessage="1" xr:uid="{00000000-0002-0000-0400-000001000000}">
          <x14:formula1>
            <xm:f>Data!$A$27:$A$28</xm:f>
          </x14:formula1>
          <xm:sqref>G5:I5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64"/>
  <sheetViews>
    <sheetView showGridLines="0" showRowColHeaders="0" workbookViewId="0">
      <selection activeCell="J5" sqref="J5"/>
    </sheetView>
  </sheetViews>
  <sheetFormatPr defaultColWidth="8.85546875" defaultRowHeight="15" x14ac:dyDescent="0.25"/>
  <cols>
    <col min="5" max="5" width="12.140625" bestFit="1" customWidth="1"/>
    <col min="6" max="6" width="16.140625" customWidth="1"/>
    <col min="7" max="7" width="14" bestFit="1" customWidth="1"/>
    <col min="8" max="9" width="11.85546875" customWidth="1"/>
    <col min="10" max="10" width="12.7109375" bestFit="1" customWidth="1"/>
    <col min="11" max="11" width="13.85546875" bestFit="1" customWidth="1"/>
    <col min="12" max="12" width="14" bestFit="1" customWidth="1"/>
    <col min="13" max="13" width="11.85546875" customWidth="1"/>
  </cols>
  <sheetData>
    <row r="1" spans="1:22" x14ac:dyDescent="0.25">
      <c r="A1" s="9" t="s">
        <v>68</v>
      </c>
      <c r="F1" s="9" t="s">
        <v>69</v>
      </c>
    </row>
    <row r="2" spans="1:22" x14ac:dyDescent="0.25">
      <c r="A2" s="39" t="s">
        <v>41</v>
      </c>
      <c r="B2">
        <v>0</v>
      </c>
      <c r="C2">
        <v>0</v>
      </c>
      <c r="D2">
        <v>0</v>
      </c>
      <c r="F2" s="39" t="s">
        <v>41</v>
      </c>
      <c r="G2">
        <v>0</v>
      </c>
      <c r="H2">
        <v>0</v>
      </c>
      <c r="J2" s="85" t="s">
        <v>70</v>
      </c>
      <c r="K2" s="85"/>
      <c r="L2" s="85"/>
      <c r="M2" s="85"/>
      <c r="N2" s="85"/>
      <c r="O2" s="85"/>
      <c r="P2" s="85"/>
      <c r="Q2" s="85"/>
      <c r="R2" s="85"/>
      <c r="S2" s="85"/>
      <c r="T2" s="85"/>
      <c r="U2" s="85"/>
      <c r="V2" s="85"/>
    </row>
    <row r="3" spans="1:22" x14ac:dyDescent="0.25">
      <c r="A3" t="s">
        <v>24</v>
      </c>
      <c r="B3">
        <v>6140</v>
      </c>
      <c r="C3">
        <v>16</v>
      </c>
      <c r="D3">
        <v>57</v>
      </c>
      <c r="F3" t="s">
        <v>24</v>
      </c>
      <c r="G3">
        <v>5136</v>
      </c>
      <c r="H3">
        <v>16</v>
      </c>
      <c r="J3" s="85" t="s">
        <v>71</v>
      </c>
      <c r="K3" s="85"/>
      <c r="L3" s="85"/>
      <c r="M3" s="85"/>
      <c r="N3" s="85"/>
      <c r="O3" s="85"/>
      <c r="P3" s="85"/>
      <c r="Q3" s="85"/>
      <c r="R3" s="85"/>
      <c r="S3" s="85"/>
      <c r="T3" s="85"/>
      <c r="U3" s="85"/>
      <c r="V3" s="85"/>
    </row>
    <row r="4" spans="1:22" x14ac:dyDescent="0.25">
      <c r="A4" t="s">
        <v>25</v>
      </c>
      <c r="B4">
        <v>7675</v>
      </c>
      <c r="C4">
        <v>20</v>
      </c>
      <c r="D4">
        <v>57</v>
      </c>
      <c r="F4" t="s">
        <v>25</v>
      </c>
      <c r="G4">
        <v>6420</v>
      </c>
      <c r="H4">
        <v>20</v>
      </c>
      <c r="J4" s="85" t="s">
        <v>77</v>
      </c>
      <c r="K4" s="85"/>
      <c r="L4" s="85"/>
      <c r="M4" s="85"/>
      <c r="N4" s="85"/>
      <c r="O4" s="85"/>
      <c r="P4" s="85"/>
      <c r="Q4" s="85"/>
      <c r="R4" s="85"/>
      <c r="S4" s="85"/>
      <c r="T4" s="85"/>
      <c r="U4" s="85"/>
      <c r="V4" s="85"/>
    </row>
    <row r="5" spans="1:22" x14ac:dyDescent="0.25">
      <c r="A5" t="s">
        <v>26</v>
      </c>
      <c r="B5">
        <v>9210</v>
      </c>
      <c r="C5">
        <v>24</v>
      </c>
      <c r="D5">
        <v>57</v>
      </c>
      <c r="F5" t="s">
        <v>26</v>
      </c>
      <c r="G5">
        <v>7704</v>
      </c>
      <c r="H5">
        <v>24</v>
      </c>
    </row>
    <row r="6" spans="1:22" x14ac:dyDescent="0.25">
      <c r="A6" t="s">
        <v>27</v>
      </c>
      <c r="B6">
        <v>10745</v>
      </c>
      <c r="C6">
        <v>28</v>
      </c>
      <c r="D6">
        <v>57</v>
      </c>
      <c r="F6" t="s">
        <v>27</v>
      </c>
      <c r="G6">
        <v>8988</v>
      </c>
      <c r="H6">
        <v>28</v>
      </c>
    </row>
    <row r="7" spans="1:22" x14ac:dyDescent="0.25">
      <c r="A7" t="s">
        <v>28</v>
      </c>
      <c r="B7">
        <v>12280</v>
      </c>
      <c r="C7">
        <v>32</v>
      </c>
      <c r="D7">
        <v>57</v>
      </c>
      <c r="F7" t="s">
        <v>28</v>
      </c>
      <c r="G7">
        <v>10272</v>
      </c>
      <c r="H7">
        <v>32</v>
      </c>
    </row>
    <row r="8" spans="1:22" x14ac:dyDescent="0.25">
      <c r="A8" t="s">
        <v>29</v>
      </c>
      <c r="B8">
        <v>13815</v>
      </c>
      <c r="C8">
        <v>36</v>
      </c>
      <c r="D8">
        <v>57</v>
      </c>
      <c r="F8" t="s">
        <v>29</v>
      </c>
      <c r="G8">
        <v>11556</v>
      </c>
      <c r="H8">
        <v>36</v>
      </c>
    </row>
    <row r="9" spans="1:22" x14ac:dyDescent="0.25">
      <c r="A9" t="s">
        <v>30</v>
      </c>
      <c r="B9">
        <v>15350</v>
      </c>
      <c r="C9">
        <v>40</v>
      </c>
      <c r="D9">
        <v>57</v>
      </c>
      <c r="F9" t="s">
        <v>30</v>
      </c>
      <c r="G9">
        <v>12840</v>
      </c>
      <c r="H9">
        <v>40</v>
      </c>
    </row>
    <row r="10" spans="1:22" x14ac:dyDescent="0.25">
      <c r="A10" t="s">
        <v>31</v>
      </c>
      <c r="B10">
        <v>16885</v>
      </c>
      <c r="C10">
        <v>44</v>
      </c>
      <c r="D10">
        <v>57</v>
      </c>
      <c r="F10" t="s">
        <v>31</v>
      </c>
      <c r="G10">
        <v>14124</v>
      </c>
      <c r="H10">
        <v>44</v>
      </c>
    </row>
    <row r="11" spans="1:22" x14ac:dyDescent="0.25">
      <c r="A11" t="s">
        <v>32</v>
      </c>
      <c r="B11">
        <v>18420</v>
      </c>
      <c r="C11">
        <v>48</v>
      </c>
      <c r="D11">
        <v>57</v>
      </c>
      <c r="F11" t="s">
        <v>32</v>
      </c>
      <c r="G11">
        <v>15408</v>
      </c>
      <c r="H11">
        <v>48</v>
      </c>
    </row>
    <row r="12" spans="1:22" x14ac:dyDescent="0.25">
      <c r="A12" t="s">
        <v>33</v>
      </c>
      <c r="B12">
        <v>18420</v>
      </c>
      <c r="C12">
        <v>48</v>
      </c>
      <c r="D12">
        <v>57</v>
      </c>
      <c r="F12" t="s">
        <v>33</v>
      </c>
      <c r="G12">
        <v>16692</v>
      </c>
      <c r="H12">
        <v>52</v>
      </c>
    </row>
    <row r="13" spans="1:22" x14ac:dyDescent="0.25">
      <c r="A13" t="s">
        <v>34</v>
      </c>
      <c r="B13">
        <v>18420</v>
      </c>
      <c r="C13">
        <v>48</v>
      </c>
      <c r="D13">
        <v>57</v>
      </c>
      <c r="F13" t="s">
        <v>34</v>
      </c>
      <c r="G13">
        <v>17976</v>
      </c>
      <c r="H13">
        <v>56</v>
      </c>
    </row>
    <row r="14" spans="1:22" x14ac:dyDescent="0.25">
      <c r="A14" t="s">
        <v>35</v>
      </c>
      <c r="B14">
        <v>18420</v>
      </c>
      <c r="C14">
        <v>48</v>
      </c>
      <c r="D14">
        <v>57</v>
      </c>
      <c r="F14" t="s">
        <v>35</v>
      </c>
      <c r="G14">
        <v>19260</v>
      </c>
      <c r="H14">
        <v>60</v>
      </c>
    </row>
    <row r="15" spans="1:22" x14ac:dyDescent="0.25">
      <c r="A15" t="s">
        <v>36</v>
      </c>
      <c r="B15">
        <v>18420</v>
      </c>
      <c r="C15">
        <v>48</v>
      </c>
      <c r="D15">
        <v>57</v>
      </c>
      <c r="F15" t="s">
        <v>36</v>
      </c>
      <c r="G15">
        <v>20544</v>
      </c>
      <c r="H15">
        <v>64</v>
      </c>
    </row>
    <row r="16" spans="1:22" x14ac:dyDescent="0.25">
      <c r="A16" t="s">
        <v>37</v>
      </c>
      <c r="B16">
        <v>18420</v>
      </c>
      <c r="C16">
        <v>48</v>
      </c>
      <c r="D16">
        <v>57</v>
      </c>
      <c r="F16" t="s">
        <v>37</v>
      </c>
      <c r="G16">
        <v>21828</v>
      </c>
      <c r="H16">
        <v>68</v>
      </c>
    </row>
    <row r="17" spans="1:22" x14ac:dyDescent="0.25">
      <c r="A17" t="s">
        <v>38</v>
      </c>
      <c r="B17">
        <v>18420</v>
      </c>
      <c r="C17">
        <v>48</v>
      </c>
      <c r="D17">
        <v>57</v>
      </c>
      <c r="F17" t="s">
        <v>38</v>
      </c>
      <c r="G17">
        <v>23112</v>
      </c>
      <c r="H17">
        <v>72</v>
      </c>
    </row>
    <row r="18" spans="1:22" x14ac:dyDescent="0.25">
      <c r="A18" t="s">
        <v>39</v>
      </c>
      <c r="B18">
        <v>19955</v>
      </c>
      <c r="C18">
        <v>52</v>
      </c>
      <c r="D18">
        <v>57</v>
      </c>
      <c r="F18" t="s">
        <v>39</v>
      </c>
      <c r="G18">
        <v>24396</v>
      </c>
      <c r="H18">
        <v>76</v>
      </c>
    </row>
    <row r="19" spans="1:22" x14ac:dyDescent="0.25">
      <c r="A19" t="s">
        <v>40</v>
      </c>
      <c r="B19">
        <v>21490</v>
      </c>
      <c r="C19">
        <v>56</v>
      </c>
      <c r="D19">
        <v>57</v>
      </c>
      <c r="F19" t="s">
        <v>40</v>
      </c>
      <c r="G19">
        <v>25680</v>
      </c>
      <c r="H19">
        <v>80</v>
      </c>
    </row>
    <row r="20" spans="1:22" x14ac:dyDescent="0.25">
      <c r="A20" t="s">
        <v>44</v>
      </c>
      <c r="B20">
        <v>23025</v>
      </c>
      <c r="C20">
        <v>60</v>
      </c>
      <c r="D20">
        <v>57</v>
      </c>
      <c r="F20" t="s">
        <v>44</v>
      </c>
      <c r="G20">
        <v>26964</v>
      </c>
      <c r="H20">
        <v>84</v>
      </c>
    </row>
    <row r="21" spans="1:22" x14ac:dyDescent="0.25">
      <c r="A21" t="s">
        <v>45</v>
      </c>
      <c r="B21">
        <v>24560</v>
      </c>
      <c r="C21">
        <v>64</v>
      </c>
      <c r="D21">
        <v>57</v>
      </c>
      <c r="F21" t="s">
        <v>45</v>
      </c>
      <c r="G21">
        <v>28248</v>
      </c>
      <c r="H21">
        <v>88</v>
      </c>
    </row>
    <row r="23" spans="1:22" x14ac:dyDescent="0.25">
      <c r="A23" s="9" t="s">
        <v>21</v>
      </c>
      <c r="E23" s="9" t="s">
        <v>52</v>
      </c>
      <c r="F23" s="9" t="s">
        <v>72</v>
      </c>
      <c r="G23" s="9" t="s">
        <v>73</v>
      </c>
      <c r="H23" s="45" t="s">
        <v>43</v>
      </c>
      <c r="I23" s="9"/>
      <c r="J23" s="9" t="s">
        <v>53</v>
      </c>
      <c r="K23" s="45" t="s">
        <v>75</v>
      </c>
      <c r="L23" s="45" t="s">
        <v>76</v>
      </c>
      <c r="M23" s="45" t="s">
        <v>43</v>
      </c>
      <c r="N23" s="61"/>
      <c r="O23" s="61"/>
      <c r="P23" s="61"/>
      <c r="Q23" s="61"/>
      <c r="R23" s="61"/>
      <c r="S23" s="61"/>
      <c r="T23" s="61"/>
      <c r="U23" s="61"/>
      <c r="V23" s="61"/>
    </row>
    <row r="24" spans="1:22" x14ac:dyDescent="0.25">
      <c r="A24" t="s">
        <v>4</v>
      </c>
      <c r="B24">
        <v>1810</v>
      </c>
      <c r="C24">
        <v>225</v>
      </c>
      <c r="E24" s="39" t="s">
        <v>41</v>
      </c>
      <c r="F24" s="39">
        <v>0</v>
      </c>
      <c r="G24" s="39">
        <v>0</v>
      </c>
      <c r="H24">
        <v>0</v>
      </c>
      <c r="J24" s="39" t="s">
        <v>41</v>
      </c>
      <c r="K24" s="39">
        <v>0</v>
      </c>
      <c r="L24" s="39">
        <v>0</v>
      </c>
      <c r="M24">
        <v>0</v>
      </c>
      <c r="N24" s="61"/>
      <c r="O24" s="61"/>
      <c r="P24" s="61"/>
      <c r="Q24" s="61"/>
      <c r="R24" s="61"/>
      <c r="S24" s="61"/>
      <c r="T24" s="61"/>
      <c r="U24" s="61"/>
      <c r="V24" s="61"/>
    </row>
    <row r="25" spans="1:22" x14ac:dyDescent="0.25">
      <c r="A25" t="s">
        <v>5</v>
      </c>
      <c r="B25">
        <v>0</v>
      </c>
      <c r="C25">
        <v>0</v>
      </c>
      <c r="E25" t="s">
        <v>24</v>
      </c>
      <c r="F25">
        <v>3376</v>
      </c>
      <c r="G25">
        <v>3144</v>
      </c>
      <c r="H25">
        <v>16</v>
      </c>
      <c r="J25" t="s">
        <v>24</v>
      </c>
      <c r="K25">
        <v>4236</v>
      </c>
      <c r="L25">
        <v>4564</v>
      </c>
      <c r="M25">
        <v>16</v>
      </c>
    </row>
    <row r="26" spans="1:22" x14ac:dyDescent="0.25">
      <c r="E26" t="s">
        <v>25</v>
      </c>
      <c r="F26">
        <v>4220</v>
      </c>
      <c r="G26">
        <v>3930</v>
      </c>
      <c r="H26">
        <v>20</v>
      </c>
      <c r="J26" t="s">
        <v>25</v>
      </c>
      <c r="K26">
        <v>5295</v>
      </c>
      <c r="L26">
        <v>5705</v>
      </c>
      <c r="M26">
        <v>20</v>
      </c>
    </row>
    <row r="27" spans="1:22" x14ac:dyDescent="0.25">
      <c r="A27" t="s">
        <v>50</v>
      </c>
      <c r="E27" t="s">
        <v>26</v>
      </c>
      <c r="F27">
        <v>5064</v>
      </c>
      <c r="G27">
        <v>4716</v>
      </c>
      <c r="H27">
        <v>24</v>
      </c>
      <c r="J27" t="s">
        <v>26</v>
      </c>
      <c r="K27">
        <v>6354</v>
      </c>
      <c r="L27">
        <v>6846</v>
      </c>
      <c r="M27">
        <v>24</v>
      </c>
    </row>
    <row r="28" spans="1:22" x14ac:dyDescent="0.25">
      <c r="A28" t="s">
        <v>51</v>
      </c>
      <c r="E28" t="s">
        <v>27</v>
      </c>
      <c r="F28">
        <v>5908</v>
      </c>
      <c r="G28">
        <v>5502</v>
      </c>
      <c r="H28">
        <v>28</v>
      </c>
      <c r="J28" t="s">
        <v>27</v>
      </c>
      <c r="K28">
        <v>7413</v>
      </c>
      <c r="L28">
        <v>7987</v>
      </c>
      <c r="M28">
        <v>28</v>
      </c>
    </row>
    <row r="29" spans="1:22" x14ac:dyDescent="0.25">
      <c r="E29" t="s">
        <v>28</v>
      </c>
      <c r="F29">
        <v>6752</v>
      </c>
      <c r="G29">
        <v>6288</v>
      </c>
      <c r="H29">
        <v>32</v>
      </c>
      <c r="J29" t="s">
        <v>28</v>
      </c>
      <c r="K29">
        <v>8472</v>
      </c>
      <c r="L29">
        <v>9128</v>
      </c>
      <c r="M29">
        <v>32</v>
      </c>
    </row>
    <row r="30" spans="1:22" x14ac:dyDescent="0.25">
      <c r="A30" t="s">
        <v>63</v>
      </c>
      <c r="E30" t="s">
        <v>29</v>
      </c>
      <c r="F30">
        <v>7596</v>
      </c>
      <c r="G30">
        <v>7074</v>
      </c>
      <c r="H30">
        <v>36</v>
      </c>
      <c r="J30" t="s">
        <v>29</v>
      </c>
      <c r="K30">
        <v>9531</v>
      </c>
      <c r="L30">
        <v>10269</v>
      </c>
      <c r="M30">
        <v>36</v>
      </c>
    </row>
    <row r="31" spans="1:22" x14ac:dyDescent="0.25">
      <c r="A31" t="s">
        <v>64</v>
      </c>
      <c r="E31" t="s">
        <v>30</v>
      </c>
      <c r="F31">
        <v>8440</v>
      </c>
      <c r="G31">
        <v>7860</v>
      </c>
      <c r="H31">
        <v>40</v>
      </c>
      <c r="J31" t="s">
        <v>30</v>
      </c>
      <c r="K31">
        <v>10590</v>
      </c>
      <c r="L31">
        <v>11410</v>
      </c>
      <c r="M31">
        <v>40</v>
      </c>
    </row>
    <row r="32" spans="1:22" x14ac:dyDescent="0.25">
      <c r="E32" t="s">
        <v>31</v>
      </c>
      <c r="F32">
        <v>9284</v>
      </c>
      <c r="G32">
        <v>8646</v>
      </c>
      <c r="H32">
        <v>44</v>
      </c>
      <c r="J32" t="s">
        <v>31</v>
      </c>
      <c r="K32">
        <v>11649</v>
      </c>
      <c r="L32">
        <v>12551</v>
      </c>
      <c r="M32">
        <v>44</v>
      </c>
    </row>
    <row r="33" spans="1:13" x14ac:dyDescent="0.25">
      <c r="E33" t="s">
        <v>32</v>
      </c>
      <c r="F33">
        <v>10128</v>
      </c>
      <c r="G33">
        <v>9432</v>
      </c>
      <c r="H33">
        <v>48</v>
      </c>
      <c r="J33" t="s">
        <v>32</v>
      </c>
      <c r="K33">
        <v>12708</v>
      </c>
      <c r="L33">
        <v>13692</v>
      </c>
      <c r="M33">
        <v>48</v>
      </c>
    </row>
    <row r="34" spans="1:13" x14ac:dyDescent="0.25">
      <c r="E34" t="s">
        <v>33</v>
      </c>
      <c r="F34">
        <v>10972</v>
      </c>
      <c r="G34">
        <v>10218</v>
      </c>
      <c r="H34">
        <v>52</v>
      </c>
      <c r="J34" t="s">
        <v>33</v>
      </c>
      <c r="K34">
        <v>13767</v>
      </c>
      <c r="L34">
        <v>14833</v>
      </c>
      <c r="M34">
        <v>52</v>
      </c>
    </row>
    <row r="35" spans="1:13" x14ac:dyDescent="0.25">
      <c r="E35" t="s">
        <v>34</v>
      </c>
      <c r="F35">
        <v>11816</v>
      </c>
      <c r="G35">
        <v>11004</v>
      </c>
      <c r="H35">
        <v>56</v>
      </c>
      <c r="J35" t="s">
        <v>34</v>
      </c>
      <c r="K35">
        <v>14826</v>
      </c>
      <c r="L35">
        <v>15974</v>
      </c>
      <c r="M35">
        <v>56</v>
      </c>
    </row>
    <row r="36" spans="1:13" x14ac:dyDescent="0.25">
      <c r="E36" t="s">
        <v>35</v>
      </c>
      <c r="F36">
        <v>12660</v>
      </c>
      <c r="G36">
        <v>11790</v>
      </c>
      <c r="H36">
        <v>60</v>
      </c>
      <c r="J36" t="s">
        <v>35</v>
      </c>
      <c r="K36">
        <v>15885</v>
      </c>
      <c r="L36">
        <v>17115</v>
      </c>
      <c r="M36">
        <v>60</v>
      </c>
    </row>
    <row r="37" spans="1:13" x14ac:dyDescent="0.25">
      <c r="E37" t="s">
        <v>36</v>
      </c>
      <c r="F37">
        <v>13504</v>
      </c>
      <c r="G37">
        <v>12576</v>
      </c>
      <c r="H37">
        <v>64</v>
      </c>
      <c r="J37" t="s">
        <v>36</v>
      </c>
      <c r="K37">
        <v>16944</v>
      </c>
      <c r="L37">
        <v>18256</v>
      </c>
      <c r="M37">
        <v>64</v>
      </c>
    </row>
    <row r="38" spans="1:13" x14ac:dyDescent="0.25">
      <c r="E38" t="s">
        <v>37</v>
      </c>
      <c r="F38">
        <v>14348</v>
      </c>
      <c r="G38">
        <v>13362</v>
      </c>
      <c r="H38">
        <v>68</v>
      </c>
      <c r="J38" t="s">
        <v>37</v>
      </c>
      <c r="K38">
        <v>18003</v>
      </c>
      <c r="L38">
        <v>19397</v>
      </c>
      <c r="M38">
        <v>68</v>
      </c>
    </row>
    <row r="39" spans="1:13" x14ac:dyDescent="0.25">
      <c r="E39" t="s">
        <v>38</v>
      </c>
      <c r="F39">
        <v>15192</v>
      </c>
      <c r="G39">
        <v>14148</v>
      </c>
      <c r="H39">
        <v>72</v>
      </c>
      <c r="J39" t="s">
        <v>38</v>
      </c>
      <c r="K39">
        <v>19062</v>
      </c>
      <c r="L39">
        <v>20538</v>
      </c>
      <c r="M39">
        <v>72</v>
      </c>
    </row>
    <row r="40" spans="1:13" x14ac:dyDescent="0.25">
      <c r="E40" t="s">
        <v>39</v>
      </c>
      <c r="F40">
        <v>16036</v>
      </c>
      <c r="G40">
        <v>14934</v>
      </c>
      <c r="H40">
        <v>76</v>
      </c>
      <c r="J40" t="s">
        <v>39</v>
      </c>
      <c r="K40">
        <v>20121</v>
      </c>
      <c r="L40">
        <v>21679</v>
      </c>
      <c r="M40">
        <v>76</v>
      </c>
    </row>
    <row r="41" spans="1:13" x14ac:dyDescent="0.25">
      <c r="E41" t="s">
        <v>40</v>
      </c>
      <c r="F41">
        <v>16880</v>
      </c>
      <c r="G41">
        <v>15720</v>
      </c>
      <c r="H41">
        <v>80</v>
      </c>
      <c r="J41" t="s">
        <v>40</v>
      </c>
      <c r="K41">
        <v>21180</v>
      </c>
      <c r="L41">
        <v>22820</v>
      </c>
      <c r="M41">
        <v>80</v>
      </c>
    </row>
    <row r="43" spans="1:13" x14ac:dyDescent="0.25">
      <c r="E43" s="9"/>
      <c r="F43" s="45"/>
      <c r="G43" s="45"/>
      <c r="H43" s="45"/>
      <c r="I43" s="9"/>
    </row>
    <row r="44" spans="1:13" x14ac:dyDescent="0.25">
      <c r="A44" s="9" t="s">
        <v>74</v>
      </c>
      <c r="E44" s="39"/>
      <c r="F44" s="39"/>
      <c r="G44" s="39"/>
    </row>
    <row r="45" spans="1:13" x14ac:dyDescent="0.25">
      <c r="A45" s="39" t="s">
        <v>41</v>
      </c>
      <c r="B45">
        <v>0</v>
      </c>
      <c r="C45">
        <v>0</v>
      </c>
      <c r="D45">
        <v>0</v>
      </c>
      <c r="F45" s="39"/>
      <c r="G45" s="39"/>
    </row>
    <row r="46" spans="1:13" x14ac:dyDescent="0.25">
      <c r="A46" t="s">
        <v>24</v>
      </c>
      <c r="B46">
        <v>6140</v>
      </c>
      <c r="C46">
        <v>16</v>
      </c>
      <c r="D46">
        <v>57</v>
      </c>
      <c r="F46" s="39"/>
      <c r="G46" s="39"/>
    </row>
    <row r="47" spans="1:13" x14ac:dyDescent="0.25">
      <c r="A47" t="s">
        <v>25</v>
      </c>
      <c r="B47">
        <v>7675</v>
      </c>
      <c r="C47">
        <v>20</v>
      </c>
      <c r="D47">
        <v>57</v>
      </c>
      <c r="F47" s="39"/>
      <c r="G47" s="39"/>
    </row>
    <row r="48" spans="1:13" x14ac:dyDescent="0.25">
      <c r="A48" t="s">
        <v>26</v>
      </c>
      <c r="B48">
        <v>9210</v>
      </c>
      <c r="C48">
        <v>24</v>
      </c>
      <c r="D48">
        <v>57</v>
      </c>
      <c r="F48" s="39"/>
      <c r="G48" s="39"/>
    </row>
    <row r="49" spans="1:7" x14ac:dyDescent="0.25">
      <c r="A49" t="s">
        <v>27</v>
      </c>
      <c r="B49">
        <v>10745</v>
      </c>
      <c r="C49">
        <v>28</v>
      </c>
      <c r="D49">
        <v>57</v>
      </c>
      <c r="F49" s="39"/>
      <c r="G49" s="39"/>
    </row>
    <row r="50" spans="1:7" x14ac:dyDescent="0.25">
      <c r="A50" t="s">
        <v>28</v>
      </c>
      <c r="B50">
        <v>12280</v>
      </c>
      <c r="C50">
        <v>32</v>
      </c>
      <c r="D50">
        <v>57</v>
      </c>
      <c r="F50" s="39"/>
      <c r="G50" s="39"/>
    </row>
    <row r="51" spans="1:7" x14ac:dyDescent="0.25">
      <c r="A51" t="s">
        <v>29</v>
      </c>
      <c r="B51">
        <v>13815</v>
      </c>
      <c r="C51">
        <v>36</v>
      </c>
      <c r="D51">
        <v>57</v>
      </c>
      <c r="F51" s="39"/>
      <c r="G51" s="39"/>
    </row>
    <row r="52" spans="1:7" x14ac:dyDescent="0.25">
      <c r="A52" t="s">
        <v>30</v>
      </c>
      <c r="B52">
        <v>15350</v>
      </c>
      <c r="C52">
        <v>40</v>
      </c>
      <c r="D52">
        <v>57</v>
      </c>
      <c r="F52" s="39"/>
      <c r="G52" s="39"/>
    </row>
    <row r="53" spans="1:7" x14ac:dyDescent="0.25">
      <c r="A53" t="s">
        <v>31</v>
      </c>
      <c r="B53">
        <v>16885</v>
      </c>
      <c r="C53">
        <v>44</v>
      </c>
      <c r="D53">
        <v>57</v>
      </c>
      <c r="F53" s="39"/>
      <c r="G53" s="39"/>
    </row>
    <row r="54" spans="1:7" x14ac:dyDescent="0.25">
      <c r="A54" t="s">
        <v>32</v>
      </c>
      <c r="B54">
        <v>18420</v>
      </c>
      <c r="C54">
        <v>48</v>
      </c>
      <c r="D54">
        <v>57</v>
      </c>
      <c r="F54" s="39"/>
      <c r="G54" s="39"/>
    </row>
    <row r="55" spans="1:7" x14ac:dyDescent="0.25">
      <c r="A55" t="s">
        <v>33</v>
      </c>
      <c r="B55">
        <v>19955</v>
      </c>
      <c r="C55">
        <v>52</v>
      </c>
      <c r="D55">
        <v>57</v>
      </c>
      <c r="F55" s="39"/>
      <c r="G55" s="39"/>
    </row>
    <row r="56" spans="1:7" x14ac:dyDescent="0.25">
      <c r="A56" t="s">
        <v>34</v>
      </c>
      <c r="B56">
        <v>21490</v>
      </c>
      <c r="C56">
        <v>56</v>
      </c>
      <c r="D56">
        <v>57</v>
      </c>
      <c r="F56" s="39"/>
      <c r="G56" s="39"/>
    </row>
    <row r="57" spans="1:7" x14ac:dyDescent="0.25">
      <c r="A57" t="s">
        <v>35</v>
      </c>
      <c r="B57">
        <v>23025</v>
      </c>
      <c r="C57">
        <v>60</v>
      </c>
      <c r="D57">
        <v>57</v>
      </c>
      <c r="F57" s="39"/>
      <c r="G57" s="39"/>
    </row>
    <row r="58" spans="1:7" x14ac:dyDescent="0.25">
      <c r="A58" t="s">
        <v>36</v>
      </c>
      <c r="B58">
        <v>24560</v>
      </c>
      <c r="C58">
        <v>64</v>
      </c>
      <c r="D58">
        <v>57</v>
      </c>
      <c r="F58" s="39"/>
      <c r="G58" s="39"/>
    </row>
    <row r="59" spans="1:7" x14ac:dyDescent="0.25">
      <c r="A59" t="s">
        <v>37</v>
      </c>
      <c r="B59">
        <v>26095</v>
      </c>
      <c r="C59">
        <v>68</v>
      </c>
      <c r="D59">
        <v>57</v>
      </c>
      <c r="F59" s="39"/>
      <c r="G59" s="39"/>
    </row>
    <row r="60" spans="1:7" x14ac:dyDescent="0.25">
      <c r="A60" t="s">
        <v>38</v>
      </c>
      <c r="B60">
        <v>27630</v>
      </c>
      <c r="C60">
        <v>72</v>
      </c>
      <c r="D60">
        <v>57</v>
      </c>
      <c r="F60" s="39"/>
      <c r="G60" s="39"/>
    </row>
    <row r="61" spans="1:7" x14ac:dyDescent="0.25">
      <c r="A61" t="s">
        <v>39</v>
      </c>
      <c r="B61">
        <v>29165</v>
      </c>
      <c r="C61">
        <v>76</v>
      </c>
      <c r="D61">
        <v>57</v>
      </c>
      <c r="F61" s="39"/>
      <c r="G61" s="39"/>
    </row>
    <row r="62" spans="1:7" x14ac:dyDescent="0.25">
      <c r="A62" t="s">
        <v>40</v>
      </c>
      <c r="B62">
        <v>30700</v>
      </c>
      <c r="C62">
        <v>80</v>
      </c>
      <c r="D62">
        <v>57</v>
      </c>
    </row>
    <row r="63" spans="1:7" x14ac:dyDescent="0.25">
      <c r="A63" t="s">
        <v>44</v>
      </c>
      <c r="B63">
        <v>32235</v>
      </c>
      <c r="C63">
        <v>84</v>
      </c>
      <c r="D63">
        <v>57</v>
      </c>
    </row>
    <row r="64" spans="1:7" x14ac:dyDescent="0.25">
      <c r="A64" t="s">
        <v>45</v>
      </c>
      <c r="B64">
        <v>33770</v>
      </c>
      <c r="C64">
        <v>88</v>
      </c>
      <c r="D64">
        <v>57</v>
      </c>
    </row>
  </sheetData>
  <sheetProtection algorithmName="SHA-512" hashValue="l613qwsC72RWqmTbGRIdgYyhrBpQls1ceIQfr1rLpmmNxyp+CNXQ3JYZuMYMG2l9vJXuLfSnJ6n90+1uVKvVUQ==" saltValue="1mQTNTywOXChx6fnaoDE9g==" spinCount="100000" sheet="1" objects="1" scenarios="1" selectLockedCells="1" selectUnlockedCells="1"/>
  <mergeCells count="3">
    <mergeCell ref="J2:V2"/>
    <mergeCell ref="J3:V3"/>
    <mergeCell ref="J4:V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6</vt:i4>
      </vt:variant>
    </vt:vector>
  </HeadingPairs>
  <TitlesOfParts>
    <vt:vector size="6" baseType="lpstr">
      <vt:lpstr>Worksheets Home</vt:lpstr>
      <vt:lpstr>On-Campus MSW</vt:lpstr>
      <vt:lpstr>On-Campus PhD</vt:lpstr>
      <vt:lpstr>West. CO &amp; 4 Corners</vt:lpstr>
      <vt:lpstr>MSW@Denver</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Westendorf</dc:creator>
  <cp:lastModifiedBy>Lisa Westendorf</cp:lastModifiedBy>
  <cp:lastPrinted>2019-02-07T21:36:17Z</cp:lastPrinted>
  <dcterms:created xsi:type="dcterms:W3CDTF">2018-06-06T22:54:45Z</dcterms:created>
  <dcterms:modified xsi:type="dcterms:W3CDTF">2022-03-03T20:42:34Z</dcterms:modified>
</cp:coreProperties>
</file>