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fileSharing readOnlyRecommended="1"/>
  <workbookPr/>
  <mc:AlternateContent xmlns:mc="http://schemas.openxmlformats.org/markup-compatibility/2006">
    <mc:Choice Requires="x15">
      <x15ac:absPath xmlns:x15ac="http://schemas.microsoft.com/office/spreadsheetml/2010/11/ac" url="R:\Financial Aid\Communication\2223\Aid Offer Materials\Grad &amp; Law\Billing Worksheets\"/>
    </mc:Choice>
  </mc:AlternateContent>
  <xr:revisionPtr revIDLastSave="0" documentId="13_ncr:1_{EEE09A97-3E5D-424C-BF38-4A66F0DAC3F8}" xr6:coauthVersionLast="47" xr6:coauthVersionMax="47" xr10:uidLastSave="{00000000-0000-0000-0000-000000000000}"/>
  <workbookProtection workbookAlgorithmName="SHA-512" workbookHashValue="EQH5BBoZTgm1dlKQpIbWWz2IWfNeKAxyi+dWoQab74ydaWbob1WSbjBJmddTnxrqE2rzxEJNW+9WrcBHB5m1LA==" workbookSaltValue="YRhWMho6eXz6AK/+QrOYEQ==" workbookSpinCount="100000" lockStructure="1"/>
  <bookViews>
    <workbookView xWindow="35550" yWindow="2235" windowWidth="19050" windowHeight="12975" tabRatio="721" xr2:uid="{00000000-000D-0000-FFFF-FFFF00000000}"/>
  </bookViews>
  <sheets>
    <sheet name="Worksheets Home" sheetId="4" r:id="rId1"/>
    <sheet name="CFSP, CP, CI, HE, RMS" sheetId="32" r:id="rId2"/>
    <sheet name="Ph.D., Ed.D." sheetId="33" r:id="rId3"/>
    <sheet name="ECSE, ELPS, TE" sheetId="34" r:id="rId4"/>
    <sheet name="On-Campus MLIS" sheetId="35" r:id="rId5"/>
    <sheet name="Online Programs" sheetId="15" r:id="rId6"/>
    <sheet name="Data" sheetId="31" state="hidden" r:id="rId7"/>
  </sheets>
  <definedNames>
    <definedName name="Credits" localSheetId="3">#REF!</definedName>
    <definedName name="Credits" localSheetId="4">#REF!</definedName>
    <definedName name="Credits" localSheetId="2">#REF!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35" l="1"/>
  <c r="L18" i="35"/>
  <c r="J18" i="35"/>
  <c r="N18" i="34"/>
  <c r="L18" i="34"/>
  <c r="J18" i="34"/>
  <c r="N18" i="33"/>
  <c r="L18" i="33"/>
  <c r="J18" i="33"/>
  <c r="L18" i="32"/>
  <c r="N18" i="32"/>
  <c r="J18" i="32"/>
  <c r="O20" i="15"/>
  <c r="M20" i="15"/>
  <c r="K20" i="15"/>
  <c r="I20" i="15"/>
  <c r="O19" i="15"/>
  <c r="M19" i="15"/>
  <c r="K19" i="15"/>
  <c r="I19" i="15"/>
  <c r="N25" i="35"/>
  <c r="L25" i="35"/>
  <c r="J25" i="35"/>
  <c r="N24" i="35"/>
  <c r="L24" i="35"/>
  <c r="J24" i="35"/>
  <c r="N25" i="34"/>
  <c r="L25" i="34"/>
  <c r="J25" i="34"/>
  <c r="N24" i="34"/>
  <c r="L24" i="34"/>
  <c r="J24" i="34"/>
  <c r="N25" i="33"/>
  <c r="L25" i="33"/>
  <c r="J25" i="33"/>
  <c r="N24" i="33"/>
  <c r="L24" i="33"/>
  <c r="J24" i="33"/>
  <c r="N25" i="32"/>
  <c r="L25" i="32"/>
  <c r="J25" i="32"/>
  <c r="N24" i="32"/>
  <c r="L24" i="32"/>
  <c r="J24" i="32"/>
  <c r="O13" i="15" l="1"/>
  <c r="M13" i="15"/>
  <c r="K13" i="15"/>
  <c r="I13" i="15"/>
  <c r="O12" i="15"/>
  <c r="M12" i="15"/>
  <c r="K12" i="15"/>
  <c r="I12" i="15"/>
  <c r="C33" i="35"/>
  <c r="N15" i="35"/>
  <c r="L15" i="35"/>
  <c r="J15" i="35"/>
  <c r="N13" i="35"/>
  <c r="L13" i="35"/>
  <c r="J13" i="35"/>
  <c r="H27" i="35"/>
  <c r="N26" i="35"/>
  <c r="L26" i="35"/>
  <c r="J26" i="35"/>
  <c r="N23" i="35"/>
  <c r="L23" i="35"/>
  <c r="J23" i="35"/>
  <c r="N22" i="35"/>
  <c r="L22" i="35"/>
  <c r="J22" i="35"/>
  <c r="N17" i="35"/>
  <c r="J17" i="35"/>
  <c r="N16" i="35"/>
  <c r="L16" i="35"/>
  <c r="J16" i="35"/>
  <c r="C33" i="34"/>
  <c r="N15" i="34"/>
  <c r="L15" i="34"/>
  <c r="J15" i="34"/>
  <c r="N13" i="34"/>
  <c r="L13" i="34"/>
  <c r="J13" i="34"/>
  <c r="H27" i="34"/>
  <c r="N26" i="34"/>
  <c r="L26" i="34"/>
  <c r="J26" i="34"/>
  <c r="N23" i="34"/>
  <c r="L23" i="34"/>
  <c r="J23" i="34"/>
  <c r="N22" i="34"/>
  <c r="L22" i="34"/>
  <c r="J22" i="34"/>
  <c r="N17" i="34"/>
  <c r="J17" i="34"/>
  <c r="N16" i="34"/>
  <c r="L16" i="34"/>
  <c r="J16" i="34"/>
  <c r="C33" i="33"/>
  <c r="N15" i="33"/>
  <c r="L15" i="33"/>
  <c r="J15" i="33"/>
  <c r="N13" i="33"/>
  <c r="L13" i="33"/>
  <c r="J13" i="33"/>
  <c r="H27" i="33"/>
  <c r="N26" i="33"/>
  <c r="L26" i="33"/>
  <c r="J26" i="33"/>
  <c r="H25" i="33"/>
  <c r="N23" i="33"/>
  <c r="L23" i="33"/>
  <c r="J23" i="33"/>
  <c r="N22" i="33"/>
  <c r="L22" i="33"/>
  <c r="J22" i="33"/>
  <c r="N17" i="33"/>
  <c r="J17" i="33"/>
  <c r="N16" i="33"/>
  <c r="L16" i="33"/>
  <c r="J16" i="33"/>
  <c r="C33" i="32"/>
  <c r="H17" i="35" l="1"/>
  <c r="N28" i="34"/>
  <c r="H24" i="34"/>
  <c r="H17" i="33"/>
  <c r="H16" i="33"/>
  <c r="H24" i="33"/>
  <c r="H28" i="33" s="1"/>
  <c r="L28" i="33"/>
  <c r="N28" i="33"/>
  <c r="J28" i="33"/>
  <c r="H18" i="33"/>
  <c r="H16" i="34"/>
  <c r="H18" i="34"/>
  <c r="L28" i="34"/>
  <c r="H17" i="34"/>
  <c r="J28" i="34"/>
  <c r="H25" i="34"/>
  <c r="H16" i="35"/>
  <c r="H18" i="35"/>
  <c r="J28" i="35"/>
  <c r="L28" i="35"/>
  <c r="H25" i="35"/>
  <c r="N28" i="35"/>
  <c r="H24" i="35"/>
  <c r="N19" i="35"/>
  <c r="L19" i="35"/>
  <c r="H15" i="35"/>
  <c r="J19" i="35"/>
  <c r="H13" i="35"/>
  <c r="N19" i="34"/>
  <c r="L19" i="34"/>
  <c r="H15" i="34"/>
  <c r="J19" i="34"/>
  <c r="H13" i="34"/>
  <c r="L19" i="33"/>
  <c r="H15" i="33"/>
  <c r="J19" i="33"/>
  <c r="N19" i="33"/>
  <c r="H13" i="33"/>
  <c r="N15" i="32"/>
  <c r="L15" i="32"/>
  <c r="J15" i="32"/>
  <c r="N13" i="32"/>
  <c r="L13" i="32"/>
  <c r="J13" i="32"/>
  <c r="N30" i="34" l="1"/>
  <c r="H28" i="34"/>
  <c r="H19" i="35"/>
  <c r="J30" i="35"/>
  <c r="L30" i="35"/>
  <c r="H28" i="35"/>
  <c r="H19" i="33"/>
  <c r="H30" i="33" s="1"/>
  <c r="L30" i="33"/>
  <c r="N30" i="33"/>
  <c r="J30" i="33"/>
  <c r="L30" i="34"/>
  <c r="J30" i="34"/>
  <c r="H19" i="34"/>
  <c r="N30" i="35"/>
  <c r="H30" i="34" l="1"/>
  <c r="H30" i="35"/>
  <c r="G20" i="15"/>
  <c r="G19" i="15"/>
  <c r="N17" i="32" l="1"/>
  <c r="J17" i="32"/>
  <c r="N16" i="32" l="1"/>
  <c r="L16" i="32"/>
  <c r="J16" i="32"/>
  <c r="J22" i="32"/>
  <c r="L22" i="32"/>
  <c r="N22" i="32"/>
  <c r="J23" i="32"/>
  <c r="L23" i="32"/>
  <c r="N23" i="32"/>
  <c r="J26" i="32"/>
  <c r="L26" i="32"/>
  <c r="N26" i="32"/>
  <c r="H27" i="32"/>
  <c r="H16" i="32" l="1"/>
  <c r="N19" i="32"/>
  <c r="H17" i="32"/>
  <c r="H18" i="32"/>
  <c r="L19" i="32"/>
  <c r="H15" i="32"/>
  <c r="H13" i="32"/>
  <c r="J28" i="32"/>
  <c r="H24" i="32"/>
  <c r="N28" i="32"/>
  <c r="L28" i="32"/>
  <c r="H25" i="32"/>
  <c r="J19" i="32"/>
  <c r="N30" i="32" l="1"/>
  <c r="L30" i="32"/>
  <c r="H19" i="32"/>
  <c r="J30" i="32"/>
  <c r="H28" i="32"/>
  <c r="H30" i="32" l="1"/>
  <c r="O21" i="15" l="1"/>
  <c r="O18" i="15"/>
  <c r="O17" i="15"/>
  <c r="M21" i="15"/>
  <c r="M18" i="15"/>
  <c r="M17" i="15"/>
  <c r="K21" i="15"/>
  <c r="K18" i="15"/>
  <c r="K17" i="15"/>
  <c r="I21" i="15"/>
  <c r="I18" i="15"/>
  <c r="I17" i="15"/>
  <c r="G22" i="15" l="1"/>
  <c r="M23" i="15" l="1"/>
  <c r="O14" i="15"/>
  <c r="M14" i="15"/>
  <c r="K14" i="15"/>
  <c r="G13" i="15"/>
  <c r="I14" i="15"/>
  <c r="G12" i="15"/>
  <c r="G23" i="15"/>
  <c r="O23" i="15" l="1"/>
  <c r="O25" i="15" s="1"/>
  <c r="M25" i="15"/>
  <c r="I23" i="15"/>
  <c r="I25" i="15" s="1"/>
  <c r="G14" i="15"/>
  <c r="G25" i="15" s="1"/>
  <c r="K23" i="15"/>
  <c r="K25" i="15" s="1"/>
</calcChain>
</file>

<file path=xl/sharedStrings.xml><?xml version="1.0" encoding="utf-8"?>
<sst xmlns="http://schemas.openxmlformats.org/spreadsheetml/2006/main" count="333" uniqueCount="94">
  <si>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</si>
  <si>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</si>
  <si>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</si>
  <si>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</si>
  <si>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</si>
  <si>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</si>
  <si>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</si>
  <si>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</si>
  <si>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</si>
  <si>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</si>
  <si>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</si>
  <si>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</si>
  <si>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</si>
  <si>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</si>
  <si>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</si>
  <si>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</si>
  <si>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</si>
  <si>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</si>
  <si>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</si>
  <si>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</si>
  <si>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</si>
  <si>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</si>
  <si>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</si>
  <si>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</si>
  <si>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</si>
  <si>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</si>
  <si>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</si>
  <si>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</si>
  <si>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</si>
  <si>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</si>
  <si>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</si>
  <si>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</si>
  <si>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</si>
  <si>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</si>
  <si>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</si>
  <si>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</si>
  <si>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</si>
  <si>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</si>
  <si>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</si>
  <si>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</si>
  <si>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</si>
  <si>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</si>
  <si>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</si>
  <si>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</si>
  <si>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Student Fee</t>
  </si>
  <si>
    <t>21 credits</t>
  </si>
  <si>
    <t>22 credits</t>
  </si>
  <si>
    <t xml:space="preserve">Will you use DU's Health &amp; Counseling Services? </t>
  </si>
  <si>
    <t>Will you enroll in DU's Health Insurance Plan?</t>
  </si>
  <si>
    <t>Technology fees are $4 per credit. If you will be enrolled in less than 4 credits, you will not be eligible for federal student loans.</t>
  </si>
  <si>
    <t>When will/did you start this program?</t>
  </si>
  <si>
    <t>2020 Fall Quarter or Later</t>
  </si>
  <si>
    <t>Prior to 2020 Fall Quarter</t>
  </si>
  <si>
    <t>Choose Your Program:</t>
  </si>
  <si>
    <r>
      <rPr>
        <b/>
        <sz val="11"/>
        <color rgb="FF000000"/>
        <rFont val="Calibri"/>
        <family val="2"/>
        <scheme val="minor"/>
      </rPr>
      <t>Programs that should use this worksheet:</t>
    </r>
    <r>
      <rPr>
        <sz val="11"/>
        <color rgb="FF000000"/>
        <rFont val="Calibri"/>
        <family val="2"/>
        <scheme val="minor"/>
      </rPr>
      <t xml:space="preserve"> M.A. or Certificate in Early Childhood Special Education; M.A. or Certificate in Educational Leadership &amp; Policy Studies; M.A. or Certificate in Teacher Education</t>
    </r>
  </si>
  <si>
    <r>
      <rPr>
        <b/>
        <sz val="11"/>
        <color rgb="FF000000"/>
        <rFont val="Calibri"/>
        <family val="2"/>
        <scheme val="minor"/>
      </rPr>
      <t>Programs that should use this worksheet:</t>
    </r>
    <r>
      <rPr>
        <sz val="11"/>
        <color rgb="FF000000"/>
        <rFont val="Calibri"/>
        <family val="2"/>
        <scheme val="minor"/>
      </rPr>
      <t xml:space="preserve"> On-Campus M.A. or Certificate in Library Information Science</t>
    </r>
  </si>
  <si>
    <r>
      <rPr>
        <b/>
        <sz val="11"/>
        <color rgb="FF000000"/>
        <rFont val="Calibri"/>
        <family val="2"/>
        <scheme val="minor"/>
      </rPr>
      <t>Programs that should use this worksheet:</t>
    </r>
    <r>
      <rPr>
        <sz val="11"/>
        <color rgb="FF000000"/>
        <rFont val="Calibri"/>
        <family val="2"/>
        <scheme val="minor"/>
      </rPr>
      <t xml:space="preserve"> MLIS@Denver and SchoolCounseling@Denver Online Programs</t>
    </r>
  </si>
  <si>
    <t>Counseling Psychology M.A.</t>
  </si>
  <si>
    <t>Curriculum &amp; Instruction M.A.</t>
  </si>
  <si>
    <t>Early Childhood Special Education M.A. or Certificate</t>
  </si>
  <si>
    <t>Educational Leadership &amp; Policy Studies M.A. or Certificate</t>
  </si>
  <si>
    <t>Higher Education M.A.</t>
  </si>
  <si>
    <t>Library Information Science M.A. or Certificate - On-Campus</t>
  </si>
  <si>
    <t>MLIS@Denver Online Program</t>
  </si>
  <si>
    <t>Research Methods &amp; Statistics M.A.</t>
  </si>
  <si>
    <t>SchoolCounseling@Denver Online Program</t>
  </si>
  <si>
    <t>Teacher Education M.A. or Certificate</t>
  </si>
  <si>
    <t>Ph.D. or Ed.D Programs</t>
  </si>
  <si>
    <t>Child, Family &amp; School Psychology M.A. or Ed.S.</t>
  </si>
  <si>
    <r>
      <rPr>
        <b/>
        <sz val="11"/>
        <color rgb="FF000000"/>
        <rFont val="Calibri"/>
        <family val="2"/>
        <scheme val="minor"/>
      </rPr>
      <t>Programs that should use this worksheet:</t>
    </r>
    <r>
      <rPr>
        <sz val="11"/>
        <color rgb="FF000000"/>
        <rFont val="Calibri"/>
        <family val="2"/>
        <scheme val="minor"/>
      </rPr>
      <t xml:space="preserve"> M.A. or Ed.S. in Child, Family &amp; School Psychology; M.A. in Counseling Psychology; M.A. in Curriculum &amp; Instruction; M.A. in Higher Education; M.A. in Research Methods &amp; Statistics</t>
    </r>
  </si>
  <si>
    <r>
      <rPr>
        <b/>
        <sz val="11"/>
        <color rgb="FF000000"/>
        <rFont val="Calibri"/>
        <family val="2"/>
        <scheme val="minor"/>
      </rPr>
      <t>Programs that should use this worksheet:</t>
    </r>
    <r>
      <rPr>
        <sz val="11"/>
        <color rgb="FF000000"/>
        <rFont val="Calibri"/>
        <family val="2"/>
        <scheme val="minor"/>
      </rPr>
      <t xml:space="preserve"> All Ph.D. and Ed.D. Programs</t>
    </r>
  </si>
  <si>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</si>
  <si>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</si>
  <si>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t>
    </r>
  </si>
  <si>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</si>
  <si>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r>
      <t xml:space="preserve">2022-23 Estimated Billing Worksheets
</t>
    </r>
    <r>
      <rPr>
        <b/>
        <i/>
        <sz val="16"/>
        <color theme="1"/>
        <rFont val="Calibri"/>
        <family val="2"/>
        <scheme val="minor"/>
      </rPr>
      <t>Morgridge College of Education</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</si>
  <si>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2022-2023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</si>
  <si>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Tuition for the 2022-2023 academic year is $1,284 per credit.</t>
  </si>
  <si>
    <t>Tuition for the 2022-2023 academic year is $1,535 per credit.</t>
  </si>
  <si>
    <t>Tuition for the 2022-2023 academic year is $767 per credit.</t>
  </si>
  <si>
    <t>Tuition for the 2022-2023 academic year is $1,074 per credit.</t>
  </si>
  <si>
    <t>Tuition for the 2022-2023 academic year is $984 per credit.</t>
  </si>
  <si>
    <t>Tuition for the 2022-2023 academic year is $1,535 per credit. If enrolled in 12-18 credits, tuition will be charged a flat rate of $18,420.</t>
  </si>
  <si>
    <r>
      <t xml:space="preserve">2022-23 Estimated Billing Worksheet
</t>
    </r>
    <r>
      <rPr>
        <b/>
        <i/>
        <sz val="16"/>
        <color theme="1"/>
        <rFont val="Calibri"/>
        <family val="2"/>
        <scheme val="minor"/>
      </rPr>
      <t>Morgridge College of Education</t>
    </r>
  </si>
  <si>
    <t>FALL 2022:</t>
  </si>
  <si>
    <t>WINTER 2023:</t>
  </si>
  <si>
    <t>SPRING 2023:</t>
  </si>
  <si>
    <t>FALL 2022</t>
  </si>
  <si>
    <t>WINTER 2023</t>
  </si>
  <si>
    <t>SPRING 2023</t>
  </si>
  <si>
    <r>
      <t xml:space="preserve">2022-23 Estimated Billing Worksheet
</t>
    </r>
    <r>
      <rPr>
        <b/>
        <i/>
        <sz val="16"/>
        <color theme="1"/>
        <rFont val="Calibri"/>
        <family val="2"/>
        <scheme val="minor"/>
      </rPr>
      <t>Morgridge College of Education Online Programs</t>
    </r>
  </si>
  <si>
    <t>SUMMER 2023:</t>
  </si>
  <si>
    <t>SUMMER 2023</t>
  </si>
  <si>
    <r>
      <t>1</t>
    </r>
    <r>
      <rPr>
        <sz val="11"/>
        <color theme="1"/>
        <rFont val="Calibri"/>
        <family val="2"/>
        <scheme val="minor"/>
      </rPr>
      <t>Tuition for the 2022-2023 academic year is $84 per credit.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</si>
</sst>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s>
  <borders count="14">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right style="dashed">
        <color indexed="64"/>
      </right>
      <top/>
      <bottom style="thin">
        <color indexed="64"/>
      </bottom>
      <diagonal/>
    </border>
    <border>
      <left style="dotted">
        <color indexed="64"/>
      </left>
      <right style="dotted">
        <color indexed="64"/>
      </right>
      <top style="dotted">
        <color indexed="64"/>
      </top>
      <bottom style="thin">
        <color indexed="64"/>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bottom style="dashed">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88">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10" fillId="0" borderId="7" xfId="1" applyFont="1" applyBorder="1"/>
    <xf numFmtId="0" fontId="10"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0" fontId="0" fillId="0" borderId="3" xfId="0" applyFill="1" applyBorder="1"/>
    <xf numFmtId="44" fontId="0" fillId="0" borderId="3" xfId="1" applyFont="1" applyFill="1" applyBorder="1"/>
    <xf numFmtId="44" fontId="0" fillId="3" borderId="3" xfId="1" applyFont="1" applyFill="1" applyBorder="1" applyProtection="1">
      <protection locked="0"/>
    </xf>
    <xf numFmtId="0" fontId="0" fillId="0" borderId="0" xfId="0" applyFont="1"/>
    <xf numFmtId="0" fontId="0" fillId="0" borderId="0" xfId="0" applyBorder="1"/>
    <xf numFmtId="44" fontId="0" fillId="0" borderId="0" xfId="1" applyFont="1" applyBorder="1"/>
    <xf numFmtId="0" fontId="0" fillId="0" borderId="0" xfId="0" applyFill="1" applyBorder="1" applyAlignment="1">
      <alignment horizontal="left"/>
    </xf>
    <xf numFmtId="0" fontId="0" fillId="0" borderId="0" xfId="0" applyFill="1" applyBorder="1"/>
    <xf numFmtId="44" fontId="0" fillId="0" borderId="0" xfId="1" applyFont="1" applyFill="1" applyBorder="1"/>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Protection="1"/>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1" fillId="0" borderId="0" xfId="0" applyFont="1" applyBorder="1" applyAlignment="1">
      <alignment horizontal="left" vertical="center" wrapText="1" indent="1"/>
    </xf>
    <xf numFmtId="0" fontId="0" fillId="0" borderId="0" xfId="0" applyAlignment="1">
      <alignment horizontal="left"/>
    </xf>
    <xf numFmtId="0" fontId="5" fillId="0" borderId="0" xfId="0" applyFont="1" applyAlignment="1">
      <alignment horizontal="right" vertical="top"/>
    </xf>
    <xf numFmtId="0" fontId="5" fillId="0" borderId="0" xfId="0" applyFont="1" applyAlignment="1">
      <alignment horizontal="right"/>
    </xf>
    <xf numFmtId="0" fontId="0" fillId="0" borderId="0" xfId="0" applyAlignment="1"/>
    <xf numFmtId="0" fontId="0" fillId="0" borderId="0" xfId="0" applyAlignment="1">
      <alignment wrapText="1"/>
    </xf>
    <xf numFmtId="0" fontId="5" fillId="0" borderId="0" xfId="0" applyFont="1"/>
    <xf numFmtId="44" fontId="0" fillId="2" borderId="10" xfId="1" applyFont="1" applyFill="1" applyBorder="1" applyProtection="1">
      <protection locked="0"/>
    </xf>
    <xf numFmtId="0" fontId="15" fillId="0" borderId="0" xfId="0" applyFont="1" applyBorder="1" applyAlignment="1">
      <alignment horizontal="left" vertical="top" indent="1"/>
    </xf>
    <xf numFmtId="0" fontId="0" fillId="0" borderId="0" xfId="0" applyAlignment="1">
      <alignment horizontal="left"/>
    </xf>
    <xf numFmtId="0" fontId="11" fillId="0" borderId="0" xfId="0" applyFont="1" applyBorder="1" applyAlignment="1">
      <alignment horizontal="left" vertical="center" wrapText="1" indent="1"/>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3" xfId="1" applyFont="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0" fontId="15" fillId="0" borderId="0" xfId="0" applyFont="1" applyBorder="1" applyAlignment="1">
      <alignment horizontal="left" indent="1"/>
    </xf>
    <xf numFmtId="44" fontId="0" fillId="3" borderId="3" xfId="1" applyFont="1" applyFill="1" applyBorder="1" applyProtection="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2" borderId="12"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3" fillId="0" borderId="9"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1" fillId="0" borderId="0" xfId="0" applyFont="1" applyBorder="1" applyAlignment="1">
      <alignment horizontal="left" wrapText="1"/>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1209675</xdr:colOff>
      <xdr:row>1</xdr:row>
      <xdr:rowOff>489762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209675" cy="489762"/>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1209675" cy="489762"/>
        </a:xfrm>
        <a:prstGeom prst="rect">
          <a:avLst/>
        </a:prstGeom>
      </xdr:spPr>
    </xdr:pic>
    <xdr:clientData/>
  </xdr:oneCellAnchor>
  <xdr:oneCellAnchor>
    <xdr:from>
      <xdr:col>1</xdr:col>
      <xdr:colOff>0</xdr:colOff>
      <xdr:row>1</xdr:row>
      <xdr:rowOff>0</xdr:rowOff>
    </xdr:from>
    <xdr:ext cx="1209675" cy="489762"/>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1209675" cy="48976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209675" cy="489762"/>
    <xdr:pic>
      <xdr:nvPicPr>
        <xdr:cNvPr id="2" name="Picture 1">
          <a:extLst>
            <a:ext uri="{FF2B5EF4-FFF2-40B4-BE49-F238E27FC236}">
              <a16:creationId xmlns:a16="http://schemas.microsoft.com/office/drawing/2014/main" id="{09090E88-46DF-C64D-B545-BBE6C56A1F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209675" cy="489762"/>
        </a:xfrm>
        <a:prstGeom prst="rect">
          <a:avLst/>
        </a:prstGeom>
      </xdr:spPr>
    </xdr:pic>
    <xdr:clientData/>
  </xdr:oneCellAnchor>
  <xdr:oneCellAnchor>
    <xdr:from>
      <xdr:col>1</xdr:col>
      <xdr:colOff>0</xdr:colOff>
      <xdr:row>1</xdr:row>
      <xdr:rowOff>0</xdr:rowOff>
    </xdr:from>
    <xdr:ext cx="1209675" cy="489762"/>
    <xdr:pic>
      <xdr:nvPicPr>
        <xdr:cNvPr id="3" name="Picture 2">
          <a:extLst>
            <a:ext uri="{FF2B5EF4-FFF2-40B4-BE49-F238E27FC236}">
              <a16:creationId xmlns:a16="http://schemas.microsoft.com/office/drawing/2014/main" id="{E8CC7211-B590-7D48-86CD-1F6219B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209675" cy="48976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209675" cy="489762"/>
    <xdr:pic>
      <xdr:nvPicPr>
        <xdr:cNvPr id="2" name="Picture 1">
          <a:extLst>
            <a:ext uri="{FF2B5EF4-FFF2-40B4-BE49-F238E27FC236}">
              <a16:creationId xmlns:a16="http://schemas.microsoft.com/office/drawing/2014/main" id="{54B4055B-8D1E-D847-8C50-93C8D5BAD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209675" cy="489762"/>
        </a:xfrm>
        <a:prstGeom prst="rect">
          <a:avLst/>
        </a:prstGeom>
      </xdr:spPr>
    </xdr:pic>
    <xdr:clientData/>
  </xdr:oneCellAnchor>
  <xdr:oneCellAnchor>
    <xdr:from>
      <xdr:col>1</xdr:col>
      <xdr:colOff>0</xdr:colOff>
      <xdr:row>1</xdr:row>
      <xdr:rowOff>0</xdr:rowOff>
    </xdr:from>
    <xdr:ext cx="1209675" cy="489762"/>
    <xdr:pic>
      <xdr:nvPicPr>
        <xdr:cNvPr id="3" name="Picture 2">
          <a:extLst>
            <a:ext uri="{FF2B5EF4-FFF2-40B4-BE49-F238E27FC236}">
              <a16:creationId xmlns:a16="http://schemas.microsoft.com/office/drawing/2014/main" id="{833FB9F0-3738-6546-B053-EF2399D2B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209675" cy="48976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209675" cy="489762"/>
    <xdr:pic>
      <xdr:nvPicPr>
        <xdr:cNvPr id="2" name="Picture 1">
          <a:extLst>
            <a:ext uri="{FF2B5EF4-FFF2-40B4-BE49-F238E27FC236}">
              <a16:creationId xmlns:a16="http://schemas.microsoft.com/office/drawing/2014/main" id="{CE6BEBCE-CEC1-334D-ADA9-FB87D928B8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209675" cy="489762"/>
        </a:xfrm>
        <a:prstGeom prst="rect">
          <a:avLst/>
        </a:prstGeom>
      </xdr:spPr>
    </xdr:pic>
    <xdr:clientData/>
  </xdr:oneCellAnchor>
  <xdr:oneCellAnchor>
    <xdr:from>
      <xdr:col>1</xdr:col>
      <xdr:colOff>0</xdr:colOff>
      <xdr:row>1</xdr:row>
      <xdr:rowOff>0</xdr:rowOff>
    </xdr:from>
    <xdr:ext cx="1209675" cy="489762"/>
    <xdr:pic>
      <xdr:nvPicPr>
        <xdr:cNvPr id="3" name="Picture 2">
          <a:extLst>
            <a:ext uri="{FF2B5EF4-FFF2-40B4-BE49-F238E27FC236}">
              <a16:creationId xmlns:a16="http://schemas.microsoft.com/office/drawing/2014/main" id="{BC6A6402-5C16-FA4D-9E36-37737A054F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209675" cy="48976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xdr:row>
      <xdr:rowOff>489762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2"/>
  <sheetViews>
    <sheetView showGridLine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6"/>
    </row>
    <row r="2" spans="1:4" ht="47.25" customHeight="1" x14ac:dyDescent="0.35">
      <c r="B2" s="71" t="s">
        <v>75</v>
      </c>
      <c r="C2" s="72"/>
      <c r="D2" s="72"/>
    </row>
    <row r="3" spans="1:4" ht="8.25" customHeight="1" x14ac:dyDescent="0.25">
      <c r="B3" s="19"/>
      <c r="C3" s="21"/>
      <c r="D3" s="21"/>
    </row>
    <row r="4" spans="1:4" ht="66.75" customHeight="1" x14ac:dyDescent="0.25">
      <c r="B4" s="73" t="s">
        <v>76</v>
      </c>
      <c r="C4" s="73"/>
      <c r="D4" s="73"/>
    </row>
    <row r="5" spans="1:4" ht="21.75" customHeight="1" x14ac:dyDescent="0.25">
      <c r="C5"/>
    </row>
    <row r="6" spans="1:4" ht="27" customHeight="1" x14ac:dyDescent="0.25">
      <c r="B6" s="44" t="s">
        <v>53</v>
      </c>
      <c r="C6"/>
    </row>
    <row r="7" spans="1:4" x14ac:dyDescent="0.25">
      <c r="B7" s="45" t="s">
        <v>68</v>
      </c>
    </row>
    <row r="8" spans="1:4" x14ac:dyDescent="0.25">
      <c r="B8" s="45" t="s">
        <v>57</v>
      </c>
    </row>
    <row r="9" spans="1:4" x14ac:dyDescent="0.25">
      <c r="B9" s="45" t="s">
        <v>58</v>
      </c>
    </row>
    <row r="10" spans="1:4" x14ac:dyDescent="0.25">
      <c r="B10" s="45" t="s">
        <v>59</v>
      </c>
    </row>
    <row r="11" spans="1:4" x14ac:dyDescent="0.25">
      <c r="B11" s="45" t="s">
        <v>60</v>
      </c>
    </row>
    <row r="12" spans="1:4" x14ac:dyDescent="0.25">
      <c r="B12" s="45" t="s">
        <v>61</v>
      </c>
    </row>
    <row r="13" spans="1:4" x14ac:dyDescent="0.25">
      <c r="B13" s="45" t="s">
        <v>62</v>
      </c>
    </row>
    <row r="14" spans="1:4" x14ac:dyDescent="0.25">
      <c r="B14" s="45" t="s">
        <v>63</v>
      </c>
    </row>
    <row r="15" spans="1:4" x14ac:dyDescent="0.25">
      <c r="B15" s="45" t="s">
        <v>64</v>
      </c>
    </row>
    <row r="16" spans="1:4" x14ac:dyDescent="0.25">
      <c r="B16" s="45" t="s">
        <v>65</v>
      </c>
    </row>
    <row r="17" spans="2:4" x14ac:dyDescent="0.25">
      <c r="B17" s="45" t="s">
        <v>66</v>
      </c>
    </row>
    <row r="18" spans="2:4" s="45" customFormat="1" x14ac:dyDescent="0.25">
      <c r="B18" s="45" t="s">
        <v>67</v>
      </c>
    </row>
    <row r="19" spans="2:4" x14ac:dyDescent="0.25">
      <c r="B19" s="47"/>
    </row>
    <row r="22" spans="2:4" x14ac:dyDescent="0.25">
      <c r="B22" s="70" t="s">
        <v>14</v>
      </c>
      <c r="C22" s="70"/>
      <c r="D22" s="70"/>
    </row>
  </sheetData>
  <sheetProtection algorithmName="SHA-512" hashValue="gVOjPUQ1BIfZx4Oq9tfeZOMhWaoSxu34fZ5dH1TxPaxfQeqIOoGCRmLT3JWdYLqaJ+OnUYhgpdWZoK4X14EF0w==" saltValue="jiFx+QLqAXWBiQJg0aThgw==" spinCount="100000" sheet="1" objects="1" scenarios="1" selectLockedCells="1"/>
  <mergeCells count="3">
    <mergeCell ref="B22:D22"/>
    <mergeCell ref="B2:D2"/>
    <mergeCell ref="B4:D4"/>
  </mergeCells>
  <hyperlinks>
    <hyperlink ref="B8" location="'CFSP, CP, CI, HE, RMS'!A1" display="Counseling Psychology M.A." xr:uid="{00000000-0004-0000-0000-000000000000}"/>
    <hyperlink ref="B9" location="'CFSP, CP, CI, HE, RMS'!A1" display="Curriculum &amp; Instruction M.A." xr:uid="{00000000-0004-0000-0000-000001000000}"/>
    <hyperlink ref="B10" location="'ECSE, ELPS, TE'!A1" display="Early Childhood Special Education M.A. or Certificate" xr:uid="{00000000-0004-0000-0000-000002000000}"/>
    <hyperlink ref="B11" location="'ECSE, ELPS, TE'!A1" display="Educational Leadership &amp; Policy Studies M.A. or Certificate" xr:uid="{00000000-0004-0000-0000-000003000000}"/>
    <hyperlink ref="B12" location="'CFSP, CP, CI, HE, RMS'!A1" display="Higher Education M.A." xr:uid="{00000000-0004-0000-0000-000004000000}"/>
    <hyperlink ref="B7" location="'CFSP, CP, CI, HE, RMS'!A1" display="Child, Family &amp; School Psychology M.A. or Ed.S." xr:uid="{00000000-0004-0000-0000-000005000000}"/>
    <hyperlink ref="B14" location="'Online Programs'!A1" display="MLIS@Denver Online Program" xr:uid="{00000000-0004-0000-0000-000006000000}"/>
    <hyperlink ref="B16" location="'Online Programs'!A1" display="SchoolCounseling@Denver Online Program" xr:uid="{00000000-0004-0000-0000-000007000000}"/>
    <hyperlink ref="B13" location="'On-Campus MLIS'!A1" display="Library Information Science M.A. or Certificate - On-Campus" xr:uid="{00000000-0004-0000-0000-000008000000}"/>
    <hyperlink ref="B15" location="'CFSP, CP, CI, HE, RMS'!A1" display="Research Methods &amp; Statistics M.A." xr:uid="{00000000-0004-0000-0000-000009000000}"/>
    <hyperlink ref="B17" location="'ECSE, ELPS, TE'!A1" display="Teacher Education M.A. or Certificate" xr:uid="{00000000-0004-0000-0000-00000A000000}"/>
    <hyperlink ref="B18" location="'Ph.D., Ed.D.'!A1" display="Ph.D. or Ed.D Programs" xr:uid="{00000000-0004-0000-0000-00000B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9"/>
  <sheetViews>
    <sheetView showGridLines="0" showRowColHeaders="0" showRuler="0" zoomScaleNormal="100" workbookViewId="0">
      <selection activeCell="G6" sqref="G6:H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4" t="s">
        <v>83</v>
      </c>
      <c r="I2" s="75"/>
      <c r="J2" s="75"/>
      <c r="K2" s="75"/>
      <c r="L2" s="75"/>
      <c r="M2" s="75"/>
      <c r="N2" s="75"/>
      <c r="O2" s="75"/>
    </row>
    <row r="3" spans="2:15" ht="8.25" customHeight="1" x14ac:dyDescent="0.25">
      <c r="B3" s="19"/>
      <c r="C3" s="19"/>
      <c r="D3" s="19"/>
      <c r="E3" s="19"/>
      <c r="F3" s="19"/>
      <c r="G3" s="19"/>
      <c r="H3" s="20"/>
      <c r="I3" s="21"/>
      <c r="J3" s="21"/>
      <c r="K3" s="21"/>
      <c r="L3" s="21"/>
      <c r="M3" s="21"/>
      <c r="N3" s="21"/>
      <c r="O3" s="21"/>
    </row>
    <row r="4" spans="2:15" ht="36" customHeight="1" x14ac:dyDescent="0.25">
      <c r="B4" s="51"/>
      <c r="C4" s="86" t="s">
        <v>69</v>
      </c>
      <c r="D4" s="86"/>
      <c r="E4" s="86"/>
      <c r="F4" s="86"/>
      <c r="G4" s="86"/>
      <c r="H4" s="86"/>
      <c r="I4" s="86"/>
      <c r="J4" s="86"/>
      <c r="K4" s="86"/>
      <c r="L4" s="86"/>
      <c r="M4" s="86"/>
      <c r="N4" s="86"/>
      <c r="O4" s="86"/>
    </row>
    <row r="5" spans="2:15" ht="24" customHeight="1" x14ac:dyDescent="0.25">
      <c r="B5" s="51"/>
      <c r="C5" s="59"/>
      <c r="D5" s="51"/>
      <c r="E5" s="51"/>
      <c r="F5" s="51"/>
      <c r="G5" s="51"/>
      <c r="H5" s="51"/>
      <c r="I5" s="51"/>
      <c r="J5" s="51"/>
      <c r="K5" s="51"/>
      <c r="L5" s="51"/>
      <c r="M5" s="51"/>
      <c r="N5" s="51"/>
      <c r="O5" s="51"/>
    </row>
    <row r="6" spans="2:15" ht="19.5" customHeight="1" x14ac:dyDescent="0.3">
      <c r="D6" s="6" t="s">
        <v>50</v>
      </c>
      <c r="G6" s="76"/>
      <c r="H6" s="77"/>
      <c r="J6" s="49"/>
      <c r="L6" s="49"/>
      <c r="N6" s="49"/>
    </row>
    <row r="7" spans="2:15" ht="19.5" customHeight="1" x14ac:dyDescent="0.25">
      <c r="J7" s="49"/>
      <c r="L7" s="49"/>
      <c r="N7" s="49"/>
    </row>
    <row r="8" spans="2:15" ht="19.5" customHeight="1" x14ac:dyDescent="0.25">
      <c r="J8" s="49" t="s">
        <v>84</v>
      </c>
      <c r="L8" s="49" t="s">
        <v>85</v>
      </c>
      <c r="N8" s="49" t="s">
        <v>86</v>
      </c>
    </row>
    <row r="9" spans="2:15" ht="18" customHeight="1" x14ac:dyDescent="0.3">
      <c r="D9" s="6" t="s">
        <v>15</v>
      </c>
      <c r="E9" s="28"/>
      <c r="F9" s="28"/>
      <c r="G9" s="28"/>
      <c r="H9" s="28"/>
      <c r="I9" s="28"/>
      <c r="J9" s="48"/>
      <c r="L9" s="48"/>
      <c r="M9" s="22"/>
      <c r="N9" s="48"/>
      <c r="O9" s="28"/>
    </row>
    <row r="10" spans="2:15" ht="6" customHeight="1" x14ac:dyDescent="0.25"/>
    <row r="11" spans="2:15" ht="15.75" thickBot="1" x14ac:dyDescent="0.3">
      <c r="B11" s="1" t="s">
        <v>7</v>
      </c>
      <c r="C11" s="1"/>
      <c r="D11" s="2"/>
      <c r="E11" s="2"/>
      <c r="F11" s="2"/>
      <c r="G11" s="2"/>
      <c r="H11" s="4" t="s">
        <v>3</v>
      </c>
      <c r="I11" s="3"/>
      <c r="J11" s="4" t="s">
        <v>87</v>
      </c>
      <c r="K11" s="3"/>
      <c r="L11" s="4" t="s">
        <v>88</v>
      </c>
      <c r="M11" s="4"/>
      <c r="N11" s="4" t="s">
        <v>89</v>
      </c>
      <c r="O11" s="2"/>
    </row>
    <row r="12" spans="2:15" ht="9" customHeight="1" x14ac:dyDescent="0.25"/>
    <row r="13" spans="2:15" ht="21.75" customHeight="1" x14ac:dyDescent="0.25">
      <c r="B13" s="9" t="s">
        <v>1</v>
      </c>
      <c r="C13" s="9"/>
      <c r="D13" s="78"/>
      <c r="E13" s="78"/>
      <c r="F13" s="10"/>
      <c r="G13" s="10"/>
      <c r="H13" s="11" t="e">
        <f>J13+L13+N13</f>
        <v>#N/A</v>
      </c>
      <c r="I13" s="10"/>
      <c r="J13" s="11" t="e">
        <f>IF(G6="2020 Fall Quarter or Later",(VLOOKUP(J9,Data!F2:G21,2,FALSE)),(VLOOKUP(J9,Data!A2:B21,2,FALSE)))</f>
        <v>#N/A</v>
      </c>
      <c r="K13" s="10"/>
      <c r="L13" s="11" t="e">
        <f>IF(G6="2020 Fall Quarter or Later",(VLOOKUP(L9,Data!F2:G21,2,FALSE)),(VLOOKUP(L9,Data!A2:B21,2,FALSE)))</f>
        <v>#N/A</v>
      </c>
      <c r="M13" s="11"/>
      <c r="N13" s="11" t="e">
        <f>IF(G6="2020 Fall Quarter or Later",(VLOOKUP(N9,Data!F2:G21,2,FALSE)),(VLOOKUP(N9,Data!A2:B21,2,FALSE)))</f>
        <v>#N/A</v>
      </c>
      <c r="O13" s="10"/>
    </row>
    <row r="14" spans="2:15" ht="21.75" customHeight="1" x14ac:dyDescent="0.25">
      <c r="B14" s="52" t="s">
        <v>0</v>
      </c>
      <c r="C14" s="52"/>
    </row>
    <row r="15" spans="2:15" ht="21.75" customHeight="1" x14ac:dyDescent="0.25">
      <c r="B15" s="12" t="s">
        <v>2</v>
      </c>
      <c r="C15" s="12"/>
      <c r="D15" s="10"/>
      <c r="E15" s="10"/>
      <c r="F15" s="10"/>
      <c r="G15" s="10"/>
      <c r="H15" s="11" t="e">
        <f>J15+L15+N15</f>
        <v>#N/A</v>
      </c>
      <c r="I15" s="10"/>
      <c r="J15" s="11" t="e">
        <f>IF(G6="2020 Fall Quarter or Later",(VLOOKUP(J9,Data!F2:H21,3,FALSE)),(VLOOKUP(J9,Data!A2:C21,3,FALSE)))</f>
        <v>#N/A</v>
      </c>
      <c r="K15" s="10"/>
      <c r="L15" s="11" t="e">
        <f>IF(G6="2020 Fall Quarter or Later",(VLOOKUP(L9,Data!F2:H21,3,FALSE)),(VLOOKUP(L9,Data!A2:C21,3,FALSE)))</f>
        <v>#N/A</v>
      </c>
      <c r="M15" s="11"/>
      <c r="N15" s="11" t="e">
        <f>IF(G6="2020 Fall Quarter or Later",(VLOOKUP(N9,Data!F2:H21,3,FALSE)),(VLOOKUP(N9,Data!A2:C21,3,FALSE)))</f>
        <v>#N/A</v>
      </c>
      <c r="O15" s="10"/>
    </row>
    <row r="16" spans="2:15" ht="21.75" customHeight="1" x14ac:dyDescent="0.25">
      <c r="B16" s="41" t="s">
        <v>17</v>
      </c>
      <c r="C16" s="41"/>
      <c r="H16" s="5" t="e">
        <f>J16+L16+N16</f>
        <v>#N/A</v>
      </c>
      <c r="J16" s="5" t="e">
        <f>IF(J9&lt;&gt;"not enrolled",(VLOOKUP(J9,Data!A2:D21,4,FALSE)),0)</f>
        <v>#N/A</v>
      </c>
      <c r="L16" s="5" t="e">
        <f>IF(L9&lt;&gt;"not enrolled",(VLOOKUP(L9,Data!A2:D21,4,FALSE)),0)</f>
        <v>#N/A</v>
      </c>
      <c r="N16" s="5" t="e">
        <f>IF(N9&lt;&gt;"not enrolled",(VLOOKUP(N9,Data!A2:D21,4,FALSE)),0)</f>
        <v>#N/A</v>
      </c>
    </row>
    <row r="17" spans="2:15" ht="21.75" customHeight="1" x14ac:dyDescent="0.25">
      <c r="B17" s="79" t="s">
        <v>48</v>
      </c>
      <c r="C17" s="79"/>
      <c r="D17" s="79"/>
      <c r="E17" s="80"/>
      <c r="F17" s="31"/>
      <c r="G17" s="29"/>
      <c r="H17" s="30">
        <f>J17+L17+N17</f>
        <v>0</v>
      </c>
      <c r="I17" s="29"/>
      <c r="J17" s="30">
        <f>IF(AND(F17="Yes", J9&lt;&gt;"not enrolled"), (VLOOKUP(F17, Data!A24:C25, 2, FALSE)), 0)</f>
        <v>0</v>
      </c>
      <c r="K17" s="29"/>
      <c r="L17" s="30">
        <v>0</v>
      </c>
      <c r="M17" s="30"/>
      <c r="N17" s="30">
        <f>IF(AND(F17="Yes", N9&lt;&gt;"not enrolled"), (VLOOKUP(F17, Data!A24:C25, 2, FALSE)), 0)</f>
        <v>0</v>
      </c>
      <c r="O17" s="29"/>
    </row>
    <row r="18" spans="2:15" s="25" customFormat="1" ht="21.75" customHeight="1" x14ac:dyDescent="0.25">
      <c r="B18" s="81" t="s">
        <v>47</v>
      </c>
      <c r="C18" s="81"/>
      <c r="D18" s="81"/>
      <c r="E18" s="82"/>
      <c r="F18" s="50"/>
      <c r="G18" s="32"/>
      <c r="H18" s="33">
        <f>J18+L18+N18</f>
        <v>0</v>
      </c>
      <c r="I18" s="32"/>
      <c r="J18" s="33">
        <f>IF(AND(F18="Yes",J9&lt;&gt;"not enrolled",J9&lt;&gt;"4 credits",J9&lt;&gt;"5 credits"), (VLOOKUP(F18,Data!A24:C25, 3, FALSE)), 0)</f>
        <v>0</v>
      </c>
      <c r="K18" s="32"/>
      <c r="L18" s="33">
        <f>IF(AND(F18="Yes", L9&lt;&gt;"not enrolled",L9&lt;&gt;"4 credits",L9&lt;&gt;"5 credits"), (VLOOKUP(F18, Data!A24:C25, 3, FALSE)), 0)</f>
        <v>0</v>
      </c>
      <c r="M18" s="33"/>
      <c r="N18" s="33">
        <f>IF(AND(F18="Yes", N9&lt;&gt;"not enrolled",N9&lt;&gt;"4 credits",N9&lt;&gt;"5 credits"), (VLOOKUP(F18, Data!A24:C25, 3, FALSE)), 0)</f>
        <v>0</v>
      </c>
      <c r="O18" s="32"/>
    </row>
    <row r="19" spans="2:15" ht="21.75" customHeight="1" x14ac:dyDescent="0.25">
      <c r="D19" s="7" t="s">
        <v>6</v>
      </c>
      <c r="H19" s="8" t="e">
        <f>SUM(H13, H15:H18)</f>
        <v>#N/A</v>
      </c>
      <c r="J19" s="8" t="e">
        <f>SUM(J13,J15:J18)</f>
        <v>#N/A</v>
      </c>
      <c r="L19" s="8" t="e">
        <f>SUM(L13,L15:L18)</f>
        <v>#N/A</v>
      </c>
      <c r="M19" s="8"/>
      <c r="N19" s="8" t="e">
        <f>SUM(N13,N15:N18)</f>
        <v>#N/A</v>
      </c>
    </row>
    <row r="20" spans="2:15" ht="24" customHeight="1" x14ac:dyDescent="0.25"/>
    <row r="21" spans="2:15" ht="15.75" thickBot="1" x14ac:dyDescent="0.3">
      <c r="B21" s="1" t="s">
        <v>11</v>
      </c>
      <c r="C21" s="1"/>
      <c r="D21" s="2"/>
      <c r="E21" s="2"/>
      <c r="F21" s="2"/>
      <c r="G21" s="2"/>
      <c r="H21" s="4" t="s">
        <v>3</v>
      </c>
      <c r="I21" s="3"/>
      <c r="J21" s="4" t="s">
        <v>87</v>
      </c>
      <c r="K21" s="3"/>
      <c r="L21" s="4" t="s">
        <v>88</v>
      </c>
      <c r="M21" s="4"/>
      <c r="N21" s="4" t="s">
        <v>89</v>
      </c>
      <c r="O21" s="2"/>
    </row>
    <row r="22" spans="2:15" ht="21.75" customHeight="1" x14ac:dyDescent="0.25">
      <c r="B22" t="s">
        <v>16</v>
      </c>
      <c r="H22" s="15"/>
      <c r="J22" s="5">
        <f>IF((AND(J9&lt;&gt;"not enrolled", L9&lt;&gt;"not enrolled", N9&lt;&gt;"not enrolled")), (H22/3), IF((AND(J9&lt;&gt;"not enrolled", L9&lt;&gt;"not enrolled", N9="not enrolled")), (H22/2), IF((AND(J9&lt;&gt;"not enrolled", L9="not enrolled", N9="not enrolled")), (H22/1), 0)))</f>
        <v>0</v>
      </c>
      <c r="L22" s="5">
        <f>IF((AND(J9&lt;&gt;"not enrolled", L9&lt;&gt;"not enrolled", N9&lt;&gt;"not enrolled")), (H22/3), IF((AND(J9&lt;&gt;"not enrolled", L9&lt;&gt;"not enrolled", N9="not enrolled")), (H22/2), IF((AND(J9="not enrolled", L9&lt;&gt;"not enrolled", N9&lt;&gt;"not enrolled")), (H22/2), 0)))</f>
        <v>0</v>
      </c>
      <c r="N22" s="5">
        <f>IF((AND(J9&lt;&gt;"not enrolled", L9&lt;&gt;"not enrolled", N9&lt;&gt;"not enrolled")), (H22/3), IF((AND(J9="not enrolled", L9&lt;&gt;"not enrolled", N9&lt;&gt;"not enrolled")), (H22/2), IF((AND(J9="not enrolled", L9="not enrolled", N9&lt;&gt;"not enrolled")), (H22), 0)))</f>
        <v>0</v>
      </c>
    </row>
    <row r="23" spans="2:15" ht="21.75" customHeight="1" x14ac:dyDescent="0.25">
      <c r="B23" s="10" t="s">
        <v>8</v>
      </c>
      <c r="C23" s="10"/>
      <c r="D23" s="10"/>
      <c r="E23" s="10"/>
      <c r="F23" s="10"/>
      <c r="G23" s="10"/>
      <c r="H23" s="16"/>
      <c r="I23" s="10"/>
      <c r="J23" s="11">
        <f>IF((AND(J9&lt;&gt;"not enrolled", L9&lt;&gt;"not enrolled", N9&lt;&gt;"not enrolled")), (H23/3), IF((AND(J9&lt;&gt;"not enrolled", L9&lt;&gt;"not enrolled", N9="not enrolled")), (H23/2), IF((AND(J9&lt;&gt;"not enrolled", L9="not enrolled", N9="not enrolled")), (H23/1), 0)))</f>
        <v>0</v>
      </c>
      <c r="K23" s="10"/>
      <c r="L23" s="11">
        <f>IF((AND(J9&lt;&gt;"not enrolled", L9&lt;&gt;"not enrolled", N9&lt;&gt;"not enrolled")), (H23/3), IF((AND(J9&lt;&gt;"not enrolled", L9&lt;&gt;"not enrolled", N9="not enrolled")), (H23/2), IF((AND(J9="not enrolled", L9&lt;&gt;"not enrolled", N9&lt;&gt;"not enrolled")), (H23/2), 0)))</f>
        <v>0</v>
      </c>
      <c r="M23" s="11"/>
      <c r="N23" s="11">
        <f>IF((AND(J9&lt;&gt;"not enrolled", L9&lt;&gt;"not enrolled", N9&lt;&gt;"not enrolled")), (H23/3), IF((AND(J9="not enrolled", L9&lt;&gt;"not enrolled", N9&lt;&gt;"not enrolled")), (H23/2), IF((AND(J9="not enrolled", L9="not enrolled", N9&lt;&gt;"not enrolled")), (H23), 0)))</f>
        <v>0</v>
      </c>
      <c r="O23" s="10"/>
    </row>
    <row r="24" spans="2:15" ht="21.75" customHeight="1" x14ac:dyDescent="0.25">
      <c r="B24" t="s">
        <v>19</v>
      </c>
      <c r="F24" s="17"/>
      <c r="H24" s="5">
        <f>SUM(J24,L24,N24)</f>
        <v>0</v>
      </c>
      <c r="J24" s="5">
        <f>IF((AND(J9&lt;&gt;"not enrolled", L9&lt;&gt;"not enrolled", N9&lt;&gt;"not enrolled")), ROUND(((F24-(F24*0.01057))/3),0), IF((AND(J9&lt;&gt;"not enrolled", L9&lt;&gt;"not enrolled", N9="not enrolled")), ROUND(((F24-(F24*0.01057))/2),0), IF((AND(J9&lt;&gt;"not enrolled", L9="not enrolled", N9="not enrolled")), ROUND(((F24-(F24*0.01057))/1),0), 0)))</f>
        <v>0</v>
      </c>
      <c r="L24" s="5">
        <f>IF((AND(J9&lt;&gt;"not enrolled", L9&lt;&gt;"not enrolled", N9&lt;&gt;"not enrolled")), ROUND(((F24-(F24*0.01057))/3),0), IF((AND(J9&lt;&gt;"not enrolled", L9&lt;&gt;"not enrolled", N9="not enrolled")), ROUND(((F24-(F24*0.01057))/2),0), IF((AND(J9="not enrolled", L9&lt;&gt;"not enrolled", N9&lt;&gt;"not enrolled")), ROUND(((F24-(F24*0.01057))/2),0), 0)))</f>
        <v>0</v>
      </c>
      <c r="N24" s="5">
        <f>IF((AND(J9&lt;&gt;"not enrolled", L9&lt;&gt;"not enrolled", N9&lt;&gt;"not enrolled")), ROUND(((F24-(F24*0.01057))/3),0), IF((AND(J9="not enrolled", L9&lt;&gt;"not enrolled", N9&lt;&gt;"not enrolled")), ROUND(((F24-(F24*0.01057))/2),0), IF((AND(J9="not enrolled", L9="not enrolled", N9&lt;&gt;"not enrolled")), ROUND(((F24-(F24*0.01057))/1),0), 0)))</f>
        <v>0</v>
      </c>
    </row>
    <row r="25" spans="2:15" ht="21.75" customHeight="1" x14ac:dyDescent="0.25">
      <c r="B25" s="10" t="s">
        <v>20</v>
      </c>
      <c r="C25" s="10"/>
      <c r="D25" s="10"/>
      <c r="E25" s="10"/>
      <c r="F25" s="17"/>
      <c r="G25" s="10"/>
      <c r="H25" s="11">
        <f>SUM(J25,L25,N25)</f>
        <v>0</v>
      </c>
      <c r="I25" s="10"/>
      <c r="J25" s="11">
        <f>IF((AND(J9&lt;&gt;"not enrolled", L9&lt;&gt;"not enrolled", N9&lt;&gt;"not enrolled")), ROUND(((F25-(F25*0.04228))/3),0), IF((AND(J9&lt;&gt;"not enrolled", L9&lt;&gt;"not enrolled", N9="not enrolled")), ROUND(((F25-(F25*0.04228))/2),0), IF((AND(J9&lt;&gt;"not enrolled", L9="not enrolled", N9="not enrolled")), ROUND(((F25-(F25*0.04228))/1),0), 0)))</f>
        <v>0</v>
      </c>
      <c r="K25" s="10"/>
      <c r="L25" s="11">
        <f>IF((AND(J9&lt;&gt;"not enrolled", L9&lt;&gt;"not enrolled", N9&lt;&gt;"not enrolled")), ROUND(((F25-(F25*0.04228))/3),0), IF((AND(J9&lt;&gt;"not enrolled", L9&lt;&gt;"not enrolled", N9="not enrolled")), ROUND(((F25-(F25*0.04228))/2),0), IF((AND(J9="not enrolled", L9&lt;&gt;"not enrolled", N9&lt;&gt;"not enrolled")), ROUND(((F25-(F25*0.04228))/2),0), 0)))</f>
        <v>0</v>
      </c>
      <c r="M25" s="11"/>
      <c r="N25" s="11">
        <f>IF((AND(J9&lt;&gt;"not enrolled", L9&lt;&gt;"not enrolled", N9&lt;&gt;"not enrolled")), ROUND(((F25-(F25*0.04228))/3),0), IF((AND(J9="not enrolled", L9&lt;&gt;"not enrolled", N9&lt;&gt;"not enrolled")), ROUND(((F25-(F25*0.04228))/2),0), IF((AND(J9="not enrolled", L9="not enrolled", N9&lt;&gt;"not enrolled")), ROUND(((F25-(F25*0.04228))/1),0), 0)))</f>
        <v>0</v>
      </c>
      <c r="O25" s="10"/>
    </row>
    <row r="26" spans="2:15" ht="21.75" customHeight="1" x14ac:dyDescent="0.25">
      <c r="B26" s="83" t="s">
        <v>23</v>
      </c>
      <c r="C26" s="83"/>
      <c r="D26" s="83"/>
      <c r="E26" s="83"/>
      <c r="F26" s="83"/>
      <c r="H26" s="16"/>
      <c r="J26" s="5">
        <f>IF((AND(J9&lt;&gt;"not enrolled", L9&lt;&gt;"not enrolled", N9&lt;&gt;"not enrolled")), (H26/3), IF((AND(J9&lt;&gt;"not enrolled", L9&lt;&gt;"not enrolled", N9="not enrolled")), (H26/2), IF((AND(J9&lt;&gt;"not enrolled", L9="not enrolled", N9="not enrolled")), (H26/1), 0)))</f>
        <v>0</v>
      </c>
      <c r="L26" s="5">
        <f>IF((AND(J9&lt;&gt;"not enrolled", L9&lt;&gt;"not enrolled", N9&lt;&gt;"not enrolled")), (H26/3), IF((AND(J9&lt;&gt;"not enrolled", L9&lt;&gt;"not enrolled", N9="not enrolled")), (H26/2), IF((AND(J9="not enrolled", L9&lt;&gt;"not enrolled", N9&lt;&gt;"not enrolled")), (H26/2), 0)))</f>
        <v>0</v>
      </c>
      <c r="N26" s="5">
        <f>IF((AND(J9&lt;&gt;"not enrolled", L9&lt;&gt;"not enrolled", N9&lt;&gt;"not enrolled")), (H26/3), IF((AND(J9="not enrolled", L9&lt;&gt;"not enrolled", N9&lt;&gt;"not enrolled")), (H26/2), IF((AND(J9="not enrolled", L9="not enrolled", N9&lt;&gt;"not enrolled")), (H26), 0)))</f>
        <v>0</v>
      </c>
    </row>
    <row r="27" spans="2:15" ht="21.75" customHeight="1" x14ac:dyDescent="0.25">
      <c r="B27" s="84" t="s">
        <v>24</v>
      </c>
      <c r="C27" s="84"/>
      <c r="D27" s="84"/>
      <c r="E27" s="84"/>
      <c r="F27" s="84"/>
      <c r="G27" s="84"/>
      <c r="H27" s="27">
        <f>J27+L27+N27</f>
        <v>0</v>
      </c>
      <c r="I27" s="26"/>
      <c r="J27" s="18"/>
      <c r="K27" s="26"/>
      <c r="L27" s="18"/>
      <c r="M27" s="34"/>
      <c r="N27" s="58"/>
      <c r="O27" s="26"/>
    </row>
    <row r="28" spans="2:15" ht="21.75" customHeight="1" x14ac:dyDescent="0.25">
      <c r="D28" s="7" t="s">
        <v>10</v>
      </c>
      <c r="H28" s="5">
        <f>SUM(H22:H27)</f>
        <v>0</v>
      </c>
      <c r="J28" s="5">
        <f>SUM(J22:J27)</f>
        <v>0</v>
      </c>
      <c r="L28" s="5">
        <f>SUM(L22:L26,L27)</f>
        <v>0</v>
      </c>
      <c r="N28" s="5">
        <f>SUM(N22:N26,N27)</f>
        <v>0</v>
      </c>
    </row>
    <row r="29" spans="2:15" ht="15.75" thickBot="1" x14ac:dyDescent="0.3"/>
    <row r="30" spans="2:15" ht="21.75" customHeight="1" thickTop="1" thickBot="1" x14ac:dyDescent="0.35">
      <c r="B30" s="14" t="s">
        <v>12</v>
      </c>
      <c r="C30" s="14"/>
      <c r="D30" s="13"/>
      <c r="E30" s="13"/>
      <c r="F30" s="13"/>
      <c r="G30" s="13"/>
      <c r="H30" s="23" t="e">
        <f>H19-H28</f>
        <v>#N/A</v>
      </c>
      <c r="I30" s="24"/>
      <c r="J30" s="23" t="e">
        <f>J19-J28</f>
        <v>#N/A</v>
      </c>
      <c r="K30" s="24"/>
      <c r="L30" s="23" t="e">
        <f>L19-L28</f>
        <v>#N/A</v>
      </c>
      <c r="M30" s="23"/>
      <c r="N30" s="23" t="e">
        <f>N19-N28</f>
        <v>#N/A</v>
      </c>
      <c r="O30" s="13"/>
    </row>
    <row r="31" spans="2:15" ht="15.75" thickTop="1" x14ac:dyDescent="0.25"/>
    <row r="32" spans="2:15" x14ac:dyDescent="0.25">
      <c r="B32" s="7" t="s">
        <v>13</v>
      </c>
      <c r="C32" s="7"/>
    </row>
    <row r="33" spans="2:15" ht="21.75" customHeight="1" x14ac:dyDescent="0.25">
      <c r="B33" s="57">
        <v>1</v>
      </c>
      <c r="C33" s="55" t="str">
        <f>IF(G6="2020 Fall Quarter or Later",Data!A45,Data!A50)</f>
        <v>Tuition for the 2022-2023 academic year is $1,535 per credit. If enrolled in 12-18 credits, tuition will be charged a flat rate of $18,420.</v>
      </c>
      <c r="D33" s="56"/>
      <c r="E33" s="56"/>
      <c r="F33" s="56"/>
      <c r="G33" s="56"/>
      <c r="H33" s="56"/>
      <c r="I33" s="56"/>
      <c r="J33" s="56"/>
      <c r="K33" s="56"/>
      <c r="L33" s="56"/>
      <c r="M33" s="56"/>
      <c r="N33" s="56"/>
      <c r="O33" s="56"/>
    </row>
    <row r="34" spans="2:15" ht="18" customHeight="1" x14ac:dyDescent="0.25">
      <c r="B34" s="54">
        <v>2</v>
      </c>
      <c r="C34" s="55" t="s">
        <v>49</v>
      </c>
      <c r="D34" s="55"/>
      <c r="E34" s="55"/>
      <c r="F34" s="55"/>
      <c r="G34" s="55"/>
      <c r="H34" s="55"/>
      <c r="I34" s="55"/>
      <c r="J34" s="55"/>
      <c r="K34" s="55"/>
      <c r="L34" s="55"/>
      <c r="M34" s="55"/>
      <c r="N34" s="55"/>
      <c r="O34" s="55"/>
    </row>
    <row r="35" spans="2:15" ht="18" customHeight="1" x14ac:dyDescent="0.25">
      <c r="B35" s="54">
        <v>3</v>
      </c>
      <c r="C35" t="s">
        <v>71</v>
      </c>
    </row>
    <row r="36" spans="2:15" ht="46.5" customHeight="1" x14ac:dyDescent="0.25">
      <c r="B36" s="53">
        <v>4</v>
      </c>
      <c r="C36" s="85" t="s">
        <v>72</v>
      </c>
      <c r="D36" s="85"/>
      <c r="E36" s="85"/>
      <c r="F36" s="85"/>
      <c r="G36" s="85"/>
      <c r="H36" s="85"/>
      <c r="I36" s="85"/>
      <c r="J36" s="85"/>
      <c r="K36" s="85"/>
      <c r="L36" s="85"/>
      <c r="M36" s="85"/>
      <c r="N36" s="85"/>
      <c r="O36" s="85"/>
    </row>
    <row r="37" spans="2:15" ht="21.75" customHeight="1" x14ac:dyDescent="0.25"/>
    <row r="39" spans="2:15" x14ac:dyDescent="0.25">
      <c r="B39" s="70" t="s">
        <v>14</v>
      </c>
      <c r="C39" s="70"/>
      <c r="D39" s="70"/>
      <c r="E39" s="70"/>
      <c r="F39" s="70"/>
      <c r="G39" s="70"/>
      <c r="H39" s="70"/>
      <c r="I39" s="70"/>
      <c r="J39" s="70"/>
      <c r="K39" s="70"/>
      <c r="L39" s="70"/>
      <c r="M39" s="70"/>
      <c r="N39" s="70"/>
      <c r="O39" s="70"/>
    </row>
  </sheetData>
  <sheetProtection algorithmName="SHA-512" hashValue="+/x4Wd66z2YV0B7n8bSxA2cfrzfqz5y5Rr5PRm1SiSk7ADlUa/FdgKvpYC/R7Q1yaDJvBUkkUAB6958m4kP6Pw==" saltValue="69An+yXYcVYrE/F5hdJI5g==" spinCount="100000" sheet="1" objects="1" scenarios="1" selectLockedCells="1"/>
  <mergeCells count="10">
    <mergeCell ref="H2:O2"/>
    <mergeCell ref="G6:H6"/>
    <mergeCell ref="D13:E13"/>
    <mergeCell ref="B39:O39"/>
    <mergeCell ref="B17:E17"/>
    <mergeCell ref="B18:E18"/>
    <mergeCell ref="B26:F26"/>
    <mergeCell ref="B27:G27"/>
    <mergeCell ref="C36:O36"/>
    <mergeCell ref="C4:O4"/>
  </mergeCells>
  <hyperlinks>
    <hyperlink ref="B17" r:id="rId1" display="Will you enroll in DU's health insurance plan?" xr:uid="{00000000-0004-0000-0100-000000000000}"/>
    <hyperlink ref="B18"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Data!$A$2:$A$21</xm:f>
          </x14:formula1>
          <xm:sqref>J9 N9 L9</xm:sqref>
        </x14:dataValidation>
        <x14:dataValidation type="list" allowBlank="1" showInputMessage="1" showErrorMessage="1" xr:uid="{00000000-0002-0000-0100-000001000000}">
          <x14:formula1>
            <xm:f>Data!$A$27:$A$28</xm:f>
          </x14:formula1>
          <xm:sqref>G6:H6</xm:sqref>
        </x14:dataValidation>
        <x14:dataValidation type="list" allowBlank="1" showInputMessage="1" showErrorMessage="1" xr:uid="{00000000-0002-0000-0100-000002000000}">
          <x14:formula1>
            <xm:f>Data!$A$24:$A$25</xm:f>
          </x14:formula1>
          <xm:sqref>F17:F18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9"/>
  <sheetViews>
    <sheetView showGridLines="0" showRowColHeaders="0" showRuler="0" zoomScaleNormal="100" workbookViewId="0">
      <selection activeCell="G6" sqref="G6:H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4" t="s">
        <v>83</v>
      </c>
      <c r="I2" s="75"/>
      <c r="J2" s="75"/>
      <c r="K2" s="75"/>
      <c r="L2" s="75"/>
      <c r="M2" s="75"/>
      <c r="N2" s="75"/>
      <c r="O2" s="75"/>
    </row>
    <row r="3" spans="2:15" ht="8.25" customHeight="1" x14ac:dyDescent="0.25">
      <c r="B3" s="19"/>
      <c r="C3" s="19"/>
      <c r="D3" s="19"/>
      <c r="E3" s="19"/>
      <c r="F3" s="19"/>
      <c r="G3" s="19"/>
      <c r="H3" s="20"/>
      <c r="I3" s="21"/>
      <c r="J3" s="21"/>
      <c r="K3" s="21"/>
      <c r="L3" s="21"/>
      <c r="M3" s="21"/>
      <c r="N3" s="21"/>
      <c r="O3" s="21"/>
    </row>
    <row r="4" spans="2:15" ht="27" customHeight="1" x14ac:dyDescent="0.25">
      <c r="B4" s="61"/>
      <c r="C4" s="73" t="s">
        <v>70</v>
      </c>
      <c r="D4" s="73"/>
      <c r="E4" s="73"/>
      <c r="F4" s="73"/>
      <c r="G4" s="73"/>
      <c r="H4" s="73"/>
      <c r="I4" s="73"/>
      <c r="J4" s="73"/>
      <c r="K4" s="73"/>
      <c r="L4" s="73"/>
      <c r="M4" s="73"/>
      <c r="N4" s="73"/>
      <c r="O4" s="73"/>
    </row>
    <row r="5" spans="2:15" ht="24" customHeight="1" x14ac:dyDescent="0.25">
      <c r="B5" s="61"/>
      <c r="C5" s="68"/>
      <c r="D5" s="61"/>
      <c r="E5" s="61"/>
      <c r="F5" s="61"/>
      <c r="G5" s="61"/>
      <c r="H5" s="61"/>
      <c r="I5" s="61"/>
      <c r="J5" s="61"/>
      <c r="K5" s="61"/>
      <c r="L5" s="61"/>
      <c r="M5" s="61"/>
      <c r="N5" s="61"/>
      <c r="O5" s="61"/>
    </row>
    <row r="6" spans="2:15" ht="19.5" customHeight="1" x14ac:dyDescent="0.3">
      <c r="D6" s="6" t="s">
        <v>50</v>
      </c>
      <c r="G6" s="76"/>
      <c r="H6" s="77"/>
      <c r="J6" s="49"/>
      <c r="L6" s="49"/>
      <c r="N6" s="49"/>
    </row>
    <row r="7" spans="2:15" ht="19.5" customHeight="1" x14ac:dyDescent="0.25">
      <c r="J7" s="49"/>
      <c r="L7" s="49"/>
      <c r="N7" s="49"/>
    </row>
    <row r="8" spans="2:15" ht="19.5" customHeight="1" x14ac:dyDescent="0.25">
      <c r="J8" s="49" t="s">
        <v>84</v>
      </c>
      <c r="L8" s="49" t="s">
        <v>85</v>
      </c>
      <c r="N8" s="49" t="s">
        <v>86</v>
      </c>
    </row>
    <row r="9" spans="2:15" ht="18" customHeight="1" x14ac:dyDescent="0.3">
      <c r="D9" s="6" t="s">
        <v>15</v>
      </c>
      <c r="E9" s="28"/>
      <c r="F9" s="28"/>
      <c r="G9" s="28"/>
      <c r="H9" s="28"/>
      <c r="I9" s="28"/>
      <c r="J9" s="48"/>
      <c r="L9" s="48"/>
      <c r="M9" s="22"/>
      <c r="N9" s="48"/>
      <c r="O9" s="28"/>
    </row>
    <row r="10" spans="2:15" ht="6" customHeight="1" x14ac:dyDescent="0.25"/>
    <row r="11" spans="2:15" ht="15.75" thickBot="1" x14ac:dyDescent="0.3">
      <c r="B11" s="1" t="s">
        <v>7</v>
      </c>
      <c r="C11" s="1"/>
      <c r="D11" s="2"/>
      <c r="E11" s="2"/>
      <c r="F11" s="2"/>
      <c r="G11" s="2"/>
      <c r="H11" s="4" t="s">
        <v>3</v>
      </c>
      <c r="I11" s="3"/>
      <c r="J11" s="4" t="s">
        <v>87</v>
      </c>
      <c r="K11" s="3"/>
      <c r="L11" s="4" t="s">
        <v>88</v>
      </c>
      <c r="M11" s="4"/>
      <c r="N11" s="4" t="s">
        <v>89</v>
      </c>
      <c r="O11" s="2"/>
    </row>
    <row r="12" spans="2:15" ht="9" customHeight="1" x14ac:dyDescent="0.25"/>
    <row r="13" spans="2:15" ht="21.75" customHeight="1" x14ac:dyDescent="0.25">
      <c r="B13" s="9" t="s">
        <v>1</v>
      </c>
      <c r="C13" s="9"/>
      <c r="D13" s="78"/>
      <c r="E13" s="78"/>
      <c r="F13" s="10"/>
      <c r="G13" s="10"/>
      <c r="H13" s="11" t="e">
        <f>J13+L13+N13</f>
        <v>#N/A</v>
      </c>
      <c r="I13" s="10"/>
      <c r="J13" s="11" t="e">
        <f>IF(G6="2020 Fall Quarter or Later",(VLOOKUP(J9,Data!J2:K21,2,FALSE)),(VLOOKUP(J9,Data!A2:B21,2,FALSE)))</f>
        <v>#N/A</v>
      </c>
      <c r="K13" s="10"/>
      <c r="L13" s="11" t="e">
        <f>IF(G6="2020 Fall Quarter or Later",(VLOOKUP(L9,Data!J2:K21,2,FALSE)),(VLOOKUP(L9,Data!A2:B21,2,FALSE)))</f>
        <v>#N/A</v>
      </c>
      <c r="M13" s="11"/>
      <c r="N13" s="11" t="e">
        <f>IF(G6="2020 Fall Quarter or Later",(VLOOKUP(N9,Data!J2:K21,2,FALSE)),(VLOOKUP(N9,Data!A2:B21,2,FALSE)))</f>
        <v>#N/A</v>
      </c>
      <c r="O13" s="10"/>
    </row>
    <row r="14" spans="2:15" ht="21.75" customHeight="1" x14ac:dyDescent="0.25">
      <c r="B14" s="60" t="s">
        <v>0</v>
      </c>
      <c r="C14" s="60"/>
    </row>
    <row r="15" spans="2:15" ht="21.75" customHeight="1" x14ac:dyDescent="0.25">
      <c r="B15" s="12" t="s">
        <v>2</v>
      </c>
      <c r="C15" s="12"/>
      <c r="D15" s="10"/>
      <c r="E15" s="10"/>
      <c r="F15" s="10"/>
      <c r="G15" s="10"/>
      <c r="H15" s="11" t="e">
        <f>J15+L15+N15</f>
        <v>#N/A</v>
      </c>
      <c r="I15" s="10"/>
      <c r="J15" s="11" t="e">
        <f>IF(G6="2020 Fall Quarter or Later",(VLOOKUP(J9,Data!J2:L21,3,FALSE)),(VLOOKUP(J9,Data!A2:C21,3,FALSE)))</f>
        <v>#N/A</v>
      </c>
      <c r="K15" s="10"/>
      <c r="L15" s="11" t="e">
        <f>IF(G6="2020 Fall Quarter or Later",(VLOOKUP(L9,Data!J2:L21,3,FALSE)),(VLOOKUP(L9,Data!A2:C21,3,FALSE)))</f>
        <v>#N/A</v>
      </c>
      <c r="M15" s="11"/>
      <c r="N15" s="11" t="e">
        <f>IF(G6="2020 Fall Quarter or Later",(VLOOKUP(N9,Data!J2:L21,3,FALSE)),(VLOOKUP(N9,Data!A2:C21,3,FALSE)))</f>
        <v>#N/A</v>
      </c>
      <c r="O15" s="10"/>
    </row>
    <row r="16" spans="2:15" ht="21.75" customHeight="1" x14ac:dyDescent="0.25">
      <c r="B16" s="41" t="s">
        <v>17</v>
      </c>
      <c r="C16" s="41"/>
      <c r="H16" s="5" t="e">
        <f>J16+L16+N16</f>
        <v>#N/A</v>
      </c>
      <c r="J16" s="5" t="e">
        <f>IF(J9&lt;&gt;"not enrolled",(VLOOKUP(J9,Data!A2:D21,4,FALSE)),0)</f>
        <v>#N/A</v>
      </c>
      <c r="L16" s="5" t="e">
        <f>IF(L9&lt;&gt;"not enrolled",(VLOOKUP(L9,Data!A2:D21,4,FALSE)),0)</f>
        <v>#N/A</v>
      </c>
      <c r="N16" s="5" t="e">
        <f>IF(N9&lt;&gt;"not enrolled",(VLOOKUP(N9,Data!A2:D21,4,FALSE)),0)</f>
        <v>#N/A</v>
      </c>
    </row>
    <row r="17" spans="2:15" ht="21.75" customHeight="1" x14ac:dyDescent="0.25">
      <c r="B17" s="79" t="s">
        <v>48</v>
      </c>
      <c r="C17" s="79"/>
      <c r="D17" s="79"/>
      <c r="E17" s="80"/>
      <c r="F17" s="31"/>
      <c r="G17" s="29"/>
      <c r="H17" s="30">
        <f>J17+L17+N17</f>
        <v>0</v>
      </c>
      <c r="I17" s="29"/>
      <c r="J17" s="30">
        <f>IF(AND(F17="Yes", J9&lt;&gt;"not enrolled"), (VLOOKUP(F17, Data!A24:C25, 2, FALSE)), 0)</f>
        <v>0</v>
      </c>
      <c r="K17" s="29"/>
      <c r="L17" s="30">
        <v>0</v>
      </c>
      <c r="M17" s="30"/>
      <c r="N17" s="30">
        <f>IF(AND(F17="Yes", N9&lt;&gt;"not enrolled"), (VLOOKUP(F17, Data!A24:C25, 2, FALSE)), 0)</f>
        <v>0</v>
      </c>
      <c r="O17" s="29"/>
    </row>
    <row r="18" spans="2:15" s="25" customFormat="1" ht="21.75" customHeight="1" x14ac:dyDescent="0.25">
      <c r="B18" s="81" t="s">
        <v>47</v>
      </c>
      <c r="C18" s="81"/>
      <c r="D18" s="81"/>
      <c r="E18" s="82"/>
      <c r="F18" s="50"/>
      <c r="G18" s="32"/>
      <c r="H18" s="33">
        <f>J18+L18+N18</f>
        <v>0</v>
      </c>
      <c r="I18" s="32"/>
      <c r="J18" s="33">
        <f>IF(AND(F18="Yes", J9&lt;&gt;"not enrolled",J9&lt;&gt;"4 credits",J9&lt;&gt;"5 credits"), (VLOOKUP(F18,Data!A24:C25, 3, FALSE)), 0)</f>
        <v>0</v>
      </c>
      <c r="K18" s="32"/>
      <c r="L18" s="33">
        <f>IF(AND(F18="Yes", L9&lt;&gt;"not enrolled",L9&lt;&gt;"4 credits",L9&lt;&gt;"5 credits"), (VLOOKUP(F18, Data!A24:C25, 3, FALSE)), 0)</f>
        <v>0</v>
      </c>
      <c r="M18" s="33"/>
      <c r="N18" s="33">
        <f>IF(AND(F18="Yes", N9&lt;&gt;"not enrolled",N9&lt;&gt;"4 credits",N9&lt;&gt;"5 credits"), (VLOOKUP(F18, Data!A24:C25, 3, FALSE)), 0)</f>
        <v>0</v>
      </c>
      <c r="O18" s="32"/>
    </row>
    <row r="19" spans="2:15" ht="21.75" customHeight="1" x14ac:dyDescent="0.25">
      <c r="D19" s="7" t="s">
        <v>6</v>
      </c>
      <c r="H19" s="8" t="e">
        <f>SUM(H13, H15:H18)</f>
        <v>#N/A</v>
      </c>
      <c r="J19" s="8" t="e">
        <f>SUM(J13,J15:J18)</f>
        <v>#N/A</v>
      </c>
      <c r="L19" s="8" t="e">
        <f>SUM(L13,L15:L18)</f>
        <v>#N/A</v>
      </c>
      <c r="M19" s="8"/>
      <c r="N19" s="8" t="e">
        <f>SUM(N13,N15:N18)</f>
        <v>#N/A</v>
      </c>
    </row>
    <row r="20" spans="2:15" ht="24" customHeight="1" x14ac:dyDescent="0.25"/>
    <row r="21" spans="2:15" ht="15.75" thickBot="1" x14ac:dyDescent="0.3">
      <c r="B21" s="1" t="s">
        <v>11</v>
      </c>
      <c r="C21" s="1"/>
      <c r="D21" s="2"/>
      <c r="E21" s="2"/>
      <c r="F21" s="2"/>
      <c r="G21" s="2"/>
      <c r="H21" s="4" t="s">
        <v>3</v>
      </c>
      <c r="I21" s="3"/>
      <c r="J21" s="4" t="s">
        <v>87</v>
      </c>
      <c r="K21" s="3"/>
      <c r="L21" s="4" t="s">
        <v>88</v>
      </c>
      <c r="M21" s="4"/>
      <c r="N21" s="4" t="s">
        <v>89</v>
      </c>
      <c r="O21" s="2"/>
    </row>
    <row r="22" spans="2:15" ht="21.75" customHeight="1" x14ac:dyDescent="0.25">
      <c r="B22" t="s">
        <v>16</v>
      </c>
      <c r="H22" s="15"/>
      <c r="J22" s="5">
        <f>IF((AND(J9&lt;&gt;"not enrolled", L9&lt;&gt;"not enrolled", N9&lt;&gt;"not enrolled")), (H22/3), IF((AND(J9&lt;&gt;"not enrolled", L9&lt;&gt;"not enrolled", N9="not enrolled")), (H22/2), IF((AND(J9&lt;&gt;"not enrolled", L9="not enrolled", N9="not enrolled")), (H22/1), 0)))</f>
        <v>0</v>
      </c>
      <c r="L22" s="5">
        <f>IF((AND(J9&lt;&gt;"not enrolled", L9&lt;&gt;"not enrolled", N9&lt;&gt;"not enrolled")), (H22/3), IF((AND(J9&lt;&gt;"not enrolled", L9&lt;&gt;"not enrolled", N9="not enrolled")), (H22/2), IF((AND(J9="not enrolled", L9&lt;&gt;"not enrolled", N9&lt;&gt;"not enrolled")), (H22/2), 0)))</f>
        <v>0</v>
      </c>
      <c r="N22" s="5">
        <f>IF((AND(J9&lt;&gt;"not enrolled", L9&lt;&gt;"not enrolled", N9&lt;&gt;"not enrolled")), (H22/3), IF((AND(J9="not enrolled", L9&lt;&gt;"not enrolled", N9&lt;&gt;"not enrolled")), (H22/2), IF((AND(J9="not enrolled", L9="not enrolled", N9&lt;&gt;"not enrolled")), (H22), 0)))</f>
        <v>0</v>
      </c>
    </row>
    <row r="23" spans="2:15" ht="21.75" customHeight="1" x14ac:dyDescent="0.25">
      <c r="B23" s="10" t="s">
        <v>8</v>
      </c>
      <c r="C23" s="10"/>
      <c r="D23" s="10"/>
      <c r="E23" s="10"/>
      <c r="F23" s="10"/>
      <c r="G23" s="10"/>
      <c r="H23" s="16"/>
      <c r="I23" s="10"/>
      <c r="J23" s="11">
        <f>IF((AND(J9&lt;&gt;"not enrolled", L9&lt;&gt;"not enrolled", N9&lt;&gt;"not enrolled")), (H23/3), IF((AND(J9&lt;&gt;"not enrolled", L9&lt;&gt;"not enrolled", N9="not enrolled")), (H23/2), IF((AND(J9&lt;&gt;"not enrolled", L9="not enrolled", N9="not enrolled")), (H23/1), 0)))</f>
        <v>0</v>
      </c>
      <c r="K23" s="10"/>
      <c r="L23" s="11">
        <f>IF((AND(J9&lt;&gt;"not enrolled", L9&lt;&gt;"not enrolled", N9&lt;&gt;"not enrolled")), (H23/3), IF((AND(J9&lt;&gt;"not enrolled", L9&lt;&gt;"not enrolled", N9="not enrolled")), (H23/2), IF((AND(J9="not enrolled", L9&lt;&gt;"not enrolled", N9&lt;&gt;"not enrolled")), (H23/2), 0)))</f>
        <v>0</v>
      </c>
      <c r="M23" s="11"/>
      <c r="N23" s="11">
        <f>IF((AND(J9&lt;&gt;"not enrolled", L9&lt;&gt;"not enrolled", N9&lt;&gt;"not enrolled")), (H23/3), IF((AND(J9="not enrolled", L9&lt;&gt;"not enrolled", N9&lt;&gt;"not enrolled")), (H23/2), IF((AND(J9="not enrolled", L9="not enrolled", N9&lt;&gt;"not enrolled")), (H23), 0)))</f>
        <v>0</v>
      </c>
      <c r="O23" s="10"/>
    </row>
    <row r="24" spans="2:15" ht="21.75" customHeight="1" x14ac:dyDescent="0.25">
      <c r="B24" t="s">
        <v>19</v>
      </c>
      <c r="F24" s="17"/>
      <c r="H24" s="5">
        <f>SUM(J24,L24,N24)</f>
        <v>0</v>
      </c>
      <c r="J24" s="5">
        <f>IF((AND(J9&lt;&gt;"not enrolled", L9&lt;&gt;"not enrolled", N9&lt;&gt;"not enrolled")), ROUND(((F24-(F24*0.01057))/3),0), IF((AND(J9&lt;&gt;"not enrolled", L9&lt;&gt;"not enrolled", N9="not enrolled")), ROUND(((F24-(F24*0.01057))/2),0), IF((AND(J9&lt;&gt;"not enrolled", L9="not enrolled", N9="not enrolled")), ROUND(((F24-(F24*0.01057))/1),0), 0)))</f>
        <v>0</v>
      </c>
      <c r="L24" s="5">
        <f>IF((AND(J9&lt;&gt;"not enrolled", L9&lt;&gt;"not enrolled", N9&lt;&gt;"not enrolled")), ROUND(((F24-(F24*0.01057))/3),0), IF((AND(J9&lt;&gt;"not enrolled", L9&lt;&gt;"not enrolled", N9="not enrolled")), ROUND(((F24-(F24*0.01057))/2),0), IF((AND(J9="not enrolled", L9&lt;&gt;"not enrolled", N9&lt;&gt;"not enrolled")), ROUND(((F24-(F24*0.01057))/2),0), 0)))</f>
        <v>0</v>
      </c>
      <c r="N24" s="5">
        <f>IF((AND(J9&lt;&gt;"not enrolled", L9&lt;&gt;"not enrolled", N9&lt;&gt;"not enrolled")), ROUND(((F24-(F24*0.01057))/3),0), IF((AND(J9="not enrolled", L9&lt;&gt;"not enrolled", N9&lt;&gt;"not enrolled")), ROUND(((F24-(F24*0.01057))/2),0), IF((AND(J9="not enrolled", L9="not enrolled", N9&lt;&gt;"not enrolled")), ROUND(((F24-(F24*0.01057))/1),0), 0)))</f>
        <v>0</v>
      </c>
    </row>
    <row r="25" spans="2:15" ht="21.75" customHeight="1" x14ac:dyDescent="0.25">
      <c r="B25" s="10" t="s">
        <v>20</v>
      </c>
      <c r="C25" s="10"/>
      <c r="D25" s="10"/>
      <c r="E25" s="10"/>
      <c r="F25" s="17"/>
      <c r="G25" s="10"/>
      <c r="H25" s="11">
        <f>SUM(J25,L25,N25)</f>
        <v>0</v>
      </c>
      <c r="I25" s="10"/>
      <c r="J25" s="11">
        <f>IF((AND(J9&lt;&gt;"not enrolled", L9&lt;&gt;"not enrolled", N9&lt;&gt;"not enrolled")), ROUND(((F25-(F25*0.04228))/3),0), IF((AND(J9&lt;&gt;"not enrolled", L9&lt;&gt;"not enrolled", N9="not enrolled")), ROUND(((F25-(F25*0.04228))/2),0), IF((AND(J9&lt;&gt;"not enrolled", L9="not enrolled", N9="not enrolled")), ROUND(((F25-(F25*0.04228))/1),0), 0)))</f>
        <v>0</v>
      </c>
      <c r="K25" s="10"/>
      <c r="L25" s="11">
        <f>IF((AND(J9&lt;&gt;"not enrolled", L9&lt;&gt;"not enrolled", N9&lt;&gt;"not enrolled")), ROUND(((F25-(F25*0.04228))/3),0), IF((AND(J9&lt;&gt;"not enrolled", L9&lt;&gt;"not enrolled", N9="not enrolled")), ROUND(((F25-(F25*0.04228))/2),0), IF((AND(J9="not enrolled", L9&lt;&gt;"not enrolled", N9&lt;&gt;"not enrolled")), ROUND(((F25-(F25*0.04228))/2),0), 0)))</f>
        <v>0</v>
      </c>
      <c r="M25" s="11"/>
      <c r="N25" s="11">
        <f>IF((AND(J9&lt;&gt;"not enrolled", L9&lt;&gt;"not enrolled", N9&lt;&gt;"not enrolled")), ROUND(((F25-(F25*0.04228))/3),0), IF((AND(J9="not enrolled", L9&lt;&gt;"not enrolled", N9&lt;&gt;"not enrolled")), ROUND(((F25-(F25*0.04228))/2),0), IF((AND(J9="not enrolled", L9="not enrolled", N9&lt;&gt;"not enrolled")), ROUND(((F25-(F25*0.04228))/1),0), 0)))</f>
        <v>0</v>
      </c>
      <c r="O25" s="10"/>
    </row>
    <row r="26" spans="2:15" ht="21.75" customHeight="1" x14ac:dyDescent="0.25">
      <c r="B26" s="83" t="s">
        <v>23</v>
      </c>
      <c r="C26" s="83"/>
      <c r="D26" s="83"/>
      <c r="E26" s="83"/>
      <c r="F26" s="83"/>
      <c r="H26" s="16"/>
      <c r="J26" s="5">
        <f>IF((AND(J9&lt;&gt;"not enrolled", L9&lt;&gt;"not enrolled", N9&lt;&gt;"not enrolled")), (H26/3), IF((AND(J9&lt;&gt;"not enrolled", L9&lt;&gt;"not enrolled", N9="not enrolled")), (H26/2), IF((AND(J9&lt;&gt;"not enrolled", L9="not enrolled", N9="not enrolled")), (H26/1), 0)))</f>
        <v>0</v>
      </c>
      <c r="L26" s="5">
        <f>IF((AND(J9&lt;&gt;"not enrolled", L9&lt;&gt;"not enrolled", N9&lt;&gt;"not enrolled")), (H26/3), IF((AND(J9&lt;&gt;"not enrolled", L9&lt;&gt;"not enrolled", N9="not enrolled")), (H26/2), IF((AND(J9="not enrolled", L9&lt;&gt;"not enrolled", N9&lt;&gt;"not enrolled")), (H26/2), 0)))</f>
        <v>0</v>
      </c>
      <c r="N26" s="5">
        <f>IF((AND(J9&lt;&gt;"not enrolled", L9&lt;&gt;"not enrolled", N9&lt;&gt;"not enrolled")), (H26/3), IF((AND(J9="not enrolled", L9&lt;&gt;"not enrolled", N9&lt;&gt;"not enrolled")), (H26/2), IF((AND(J9="not enrolled", L9="not enrolled", N9&lt;&gt;"not enrolled")), (H26), 0)))</f>
        <v>0</v>
      </c>
    </row>
    <row r="27" spans="2:15" ht="21.75" customHeight="1" x14ac:dyDescent="0.25">
      <c r="B27" s="84" t="s">
        <v>24</v>
      </c>
      <c r="C27" s="84"/>
      <c r="D27" s="84"/>
      <c r="E27" s="84"/>
      <c r="F27" s="84"/>
      <c r="G27" s="84"/>
      <c r="H27" s="27">
        <f>J27+L27+N27</f>
        <v>0</v>
      </c>
      <c r="I27" s="26"/>
      <c r="J27" s="18"/>
      <c r="K27" s="26"/>
      <c r="L27" s="18"/>
      <c r="M27" s="34"/>
      <c r="N27" s="58"/>
      <c r="O27" s="26"/>
    </row>
    <row r="28" spans="2:15" ht="21.75" customHeight="1" x14ac:dyDescent="0.25">
      <c r="D28" s="7" t="s">
        <v>10</v>
      </c>
      <c r="H28" s="5">
        <f>SUM(H22:H27)</f>
        <v>0</v>
      </c>
      <c r="J28" s="5">
        <f>SUM(J22:J27)</f>
        <v>0</v>
      </c>
      <c r="L28" s="5">
        <f>SUM(L22:L26,L27)</f>
        <v>0</v>
      </c>
      <c r="N28" s="5">
        <f>SUM(N22:N26,N27)</f>
        <v>0</v>
      </c>
    </row>
    <row r="29" spans="2:15" ht="15.75" thickBot="1" x14ac:dyDescent="0.3"/>
    <row r="30" spans="2:15" ht="21.75" customHeight="1" thickTop="1" thickBot="1" x14ac:dyDescent="0.35">
      <c r="B30" s="14" t="s">
        <v>12</v>
      </c>
      <c r="C30" s="14"/>
      <c r="D30" s="13"/>
      <c r="E30" s="13"/>
      <c r="F30" s="13"/>
      <c r="G30" s="13"/>
      <c r="H30" s="23" t="e">
        <f>H19-H28</f>
        <v>#N/A</v>
      </c>
      <c r="I30" s="24"/>
      <c r="J30" s="23" t="e">
        <f>J19-J28</f>
        <v>#N/A</v>
      </c>
      <c r="K30" s="24"/>
      <c r="L30" s="23" t="e">
        <f>L19-L28</f>
        <v>#N/A</v>
      </c>
      <c r="M30" s="23"/>
      <c r="N30" s="23" t="e">
        <f>N19-N28</f>
        <v>#N/A</v>
      </c>
      <c r="O30" s="13"/>
    </row>
    <row r="31" spans="2:15" ht="15.75" thickTop="1" x14ac:dyDescent="0.25"/>
    <row r="32" spans="2:15" x14ac:dyDescent="0.25">
      <c r="B32" s="7" t="s">
        <v>13</v>
      </c>
      <c r="C32" s="7"/>
    </row>
    <row r="33" spans="2:15" ht="21.75" customHeight="1" x14ac:dyDescent="0.25">
      <c r="B33" s="57">
        <v>1</v>
      </c>
      <c r="C33" s="55" t="str">
        <f>IF(G6="2020 Fall Quarter or Later",Data!A46,Data!A50)</f>
        <v>Tuition for the 2022-2023 academic year is $1,535 per credit. If enrolled in 12-18 credits, tuition will be charged a flat rate of $18,420.</v>
      </c>
      <c r="D33" s="56"/>
      <c r="E33" s="56"/>
      <c r="F33" s="56"/>
      <c r="G33" s="56"/>
      <c r="H33" s="56"/>
      <c r="I33" s="56"/>
      <c r="J33" s="56"/>
      <c r="K33" s="56"/>
      <c r="L33" s="56"/>
      <c r="M33" s="56"/>
      <c r="N33" s="56"/>
      <c r="O33" s="56"/>
    </row>
    <row r="34" spans="2:15" ht="18" customHeight="1" x14ac:dyDescent="0.25">
      <c r="B34" s="54">
        <v>2</v>
      </c>
      <c r="C34" s="55" t="s">
        <v>49</v>
      </c>
      <c r="D34" s="55"/>
      <c r="E34" s="55"/>
      <c r="F34" s="55"/>
      <c r="G34" s="55"/>
      <c r="H34" s="55"/>
      <c r="I34" s="55"/>
      <c r="J34" s="55"/>
      <c r="K34" s="55"/>
      <c r="L34" s="55"/>
      <c r="M34" s="55"/>
      <c r="N34" s="55"/>
      <c r="O34" s="55"/>
    </row>
    <row r="35" spans="2:15" ht="18" customHeight="1" x14ac:dyDescent="0.25">
      <c r="B35" s="54">
        <v>3</v>
      </c>
      <c r="C35" t="s">
        <v>71</v>
      </c>
    </row>
    <row r="36" spans="2:15" ht="46.5" customHeight="1" x14ac:dyDescent="0.25">
      <c r="B36" s="53">
        <v>4</v>
      </c>
      <c r="C36" s="85" t="s">
        <v>72</v>
      </c>
      <c r="D36" s="85"/>
      <c r="E36" s="85"/>
      <c r="F36" s="85"/>
      <c r="G36" s="85"/>
      <c r="H36" s="85"/>
      <c r="I36" s="85"/>
      <c r="J36" s="85"/>
      <c r="K36" s="85"/>
      <c r="L36" s="85"/>
      <c r="M36" s="85"/>
      <c r="N36" s="85"/>
      <c r="O36" s="85"/>
    </row>
    <row r="37" spans="2:15" ht="21.75" customHeight="1" x14ac:dyDescent="0.25"/>
    <row r="39" spans="2:15" x14ac:dyDescent="0.25">
      <c r="B39" s="70" t="s">
        <v>14</v>
      </c>
      <c r="C39" s="70"/>
      <c r="D39" s="70"/>
      <c r="E39" s="70"/>
      <c r="F39" s="70"/>
      <c r="G39" s="70"/>
      <c r="H39" s="70"/>
      <c r="I39" s="70"/>
      <c r="J39" s="70"/>
      <c r="K39" s="70"/>
      <c r="L39" s="70"/>
      <c r="M39" s="70"/>
      <c r="N39" s="70"/>
      <c r="O39" s="70"/>
    </row>
  </sheetData>
  <sheetProtection algorithmName="SHA-512" hashValue="XDL7+jqNdEoD5Sh9FTRLSj335i+QCW4cBfPTf4ry2TRr+9Nh4cvLP5cYVCNvgKySjUPJNNvBdudJow9m7QgLMg==" saltValue="4Z4UTakzKFUADUS228bPXQ==" spinCount="100000" sheet="1" objects="1" scenarios="1" selectLockedCells="1"/>
  <mergeCells count="10">
    <mergeCell ref="B26:F26"/>
    <mergeCell ref="B27:G27"/>
    <mergeCell ref="C36:O36"/>
    <mergeCell ref="B39:O39"/>
    <mergeCell ref="H2:O2"/>
    <mergeCell ref="C4:O4"/>
    <mergeCell ref="G6:H6"/>
    <mergeCell ref="D13:E13"/>
    <mergeCell ref="B17:E17"/>
    <mergeCell ref="B18:E18"/>
  </mergeCells>
  <hyperlinks>
    <hyperlink ref="B17" r:id="rId1" display="Will you enroll in DU's health insurance plan?" xr:uid="{00000000-0004-0000-0200-000000000000}"/>
    <hyperlink ref="B18"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Data!$A$2:$A$21</xm:f>
          </x14:formula1>
          <xm:sqref>L9 J9 N9</xm:sqref>
        </x14:dataValidation>
        <x14:dataValidation type="list" allowBlank="1" showInputMessage="1" showErrorMessage="1" xr:uid="{00000000-0002-0000-0200-000001000000}">
          <x14:formula1>
            <xm:f>Data!$A$24:$A$25</xm:f>
          </x14:formula1>
          <xm:sqref>F17:F18</xm:sqref>
        </x14:dataValidation>
        <x14:dataValidation type="list" allowBlank="1" showInputMessage="1" showErrorMessage="1" xr:uid="{00000000-0002-0000-0200-000002000000}">
          <x14:formula1>
            <xm:f>Data!$A$27:$A$28</xm:f>
          </x14:formula1>
          <xm:sqref>G6:H6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9"/>
  <sheetViews>
    <sheetView showGridLines="0" showRowColHeaders="0" showRuler="0" zoomScaleNormal="100" workbookViewId="0">
      <selection activeCell="G6" sqref="G6:H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4" t="s">
        <v>83</v>
      </c>
      <c r="I2" s="75"/>
      <c r="J2" s="75"/>
      <c r="K2" s="75"/>
      <c r="L2" s="75"/>
      <c r="M2" s="75"/>
      <c r="N2" s="75"/>
      <c r="O2" s="75"/>
    </row>
    <row r="3" spans="2:15" ht="8.25" customHeight="1" x14ac:dyDescent="0.25">
      <c r="B3" s="19"/>
      <c r="C3" s="19"/>
      <c r="D3" s="19"/>
      <c r="E3" s="19"/>
      <c r="F3" s="19"/>
      <c r="G3" s="19"/>
      <c r="H3" s="20"/>
      <c r="I3" s="21"/>
      <c r="J3" s="21"/>
      <c r="K3" s="21"/>
      <c r="L3" s="21"/>
      <c r="M3" s="21"/>
      <c r="N3" s="21"/>
      <c r="O3" s="21"/>
    </row>
    <row r="4" spans="2:15" ht="33.950000000000003" customHeight="1" x14ac:dyDescent="0.25">
      <c r="B4" s="61"/>
      <c r="C4" s="73" t="s">
        <v>54</v>
      </c>
      <c r="D4" s="73"/>
      <c r="E4" s="73"/>
      <c r="F4" s="73"/>
      <c r="G4" s="73"/>
      <c r="H4" s="73"/>
      <c r="I4" s="73"/>
      <c r="J4" s="73"/>
      <c r="K4" s="73"/>
      <c r="L4" s="73"/>
      <c r="M4" s="73"/>
      <c r="N4" s="73"/>
      <c r="O4" s="73"/>
    </row>
    <row r="5" spans="2:15" ht="24" customHeight="1" x14ac:dyDescent="0.25">
      <c r="B5" s="61"/>
      <c r="C5" s="68"/>
      <c r="D5" s="61"/>
      <c r="E5" s="61"/>
      <c r="F5" s="61"/>
      <c r="G5" s="61"/>
      <c r="H5" s="61"/>
      <c r="I5" s="61"/>
      <c r="J5" s="61"/>
      <c r="K5" s="61"/>
      <c r="L5" s="61"/>
      <c r="M5" s="61"/>
      <c r="N5" s="61"/>
      <c r="O5" s="61"/>
    </row>
    <row r="6" spans="2:15" ht="19.5" customHeight="1" x14ac:dyDescent="0.3">
      <c r="D6" s="6" t="s">
        <v>50</v>
      </c>
      <c r="G6" s="76"/>
      <c r="H6" s="77"/>
      <c r="J6" s="49"/>
      <c r="L6" s="49"/>
      <c r="N6" s="49"/>
    </row>
    <row r="7" spans="2:15" ht="19.5" customHeight="1" x14ac:dyDescent="0.25">
      <c r="J7" s="49"/>
      <c r="L7" s="49"/>
      <c r="N7" s="49"/>
    </row>
    <row r="8" spans="2:15" ht="19.5" customHeight="1" x14ac:dyDescent="0.25">
      <c r="J8" s="49" t="s">
        <v>84</v>
      </c>
      <c r="L8" s="49" t="s">
        <v>85</v>
      </c>
      <c r="N8" s="49" t="s">
        <v>86</v>
      </c>
    </row>
    <row r="9" spans="2:15" ht="18" customHeight="1" x14ac:dyDescent="0.3">
      <c r="D9" s="6" t="s">
        <v>15</v>
      </c>
      <c r="E9" s="28"/>
      <c r="F9" s="28"/>
      <c r="G9" s="28"/>
      <c r="H9" s="28"/>
      <c r="I9" s="28"/>
      <c r="J9" s="48"/>
      <c r="L9" s="48"/>
      <c r="M9" s="22"/>
      <c r="N9" s="48"/>
      <c r="O9" s="28"/>
    </row>
    <row r="10" spans="2:15" ht="6" customHeight="1" x14ac:dyDescent="0.25"/>
    <row r="11" spans="2:15" ht="15.75" thickBot="1" x14ac:dyDescent="0.3">
      <c r="B11" s="1" t="s">
        <v>7</v>
      </c>
      <c r="C11" s="1"/>
      <c r="D11" s="2"/>
      <c r="E11" s="2"/>
      <c r="F11" s="2"/>
      <c r="G11" s="2"/>
      <c r="H11" s="4" t="s">
        <v>3</v>
      </c>
      <c r="I11" s="3"/>
      <c r="J11" s="4" t="s">
        <v>87</v>
      </c>
      <c r="K11" s="3"/>
      <c r="L11" s="4" t="s">
        <v>88</v>
      </c>
      <c r="M11" s="4"/>
      <c r="N11" s="4" t="s">
        <v>89</v>
      </c>
      <c r="O11" s="2"/>
    </row>
    <row r="12" spans="2:15" ht="9" customHeight="1" x14ac:dyDescent="0.25"/>
    <row r="13" spans="2:15" ht="21.75" customHeight="1" x14ac:dyDescent="0.25">
      <c r="B13" s="9" t="s">
        <v>1</v>
      </c>
      <c r="C13" s="9"/>
      <c r="D13" s="78"/>
      <c r="E13" s="78"/>
      <c r="F13" s="10"/>
      <c r="G13" s="10"/>
      <c r="H13" s="11" t="e">
        <f>J13+L13+N13</f>
        <v>#N/A</v>
      </c>
      <c r="I13" s="10"/>
      <c r="J13" s="11" t="e">
        <f>IF(G6="2020 Fall Quarter or Later",(VLOOKUP(J9,Data!F24:G43,2,FALSE)),(VLOOKUP(J9,Data!A2:B21,2,FALSE)))</f>
        <v>#N/A</v>
      </c>
      <c r="K13" s="10"/>
      <c r="L13" s="11" t="e">
        <f>IF(G6="2020 Fall Quarter or Later",(VLOOKUP(L9,Data!F24:G43,2,FALSE)),(VLOOKUP(L9,Data!A2:B21,2,FALSE)))</f>
        <v>#N/A</v>
      </c>
      <c r="M13" s="11"/>
      <c r="N13" s="11" t="e">
        <f>IF(G6="2020 Fall Quarter or Later",(VLOOKUP(N9,Data!F24:G43,2,FALSE)),(VLOOKUP(N9,Data!A2:B21,2,FALSE)))</f>
        <v>#N/A</v>
      </c>
      <c r="O13" s="10"/>
    </row>
    <row r="14" spans="2:15" ht="21.75" customHeight="1" x14ac:dyDescent="0.25">
      <c r="B14" s="60" t="s">
        <v>0</v>
      </c>
      <c r="C14" s="60"/>
    </row>
    <row r="15" spans="2:15" ht="21.75" customHeight="1" x14ac:dyDescent="0.25">
      <c r="B15" s="12" t="s">
        <v>2</v>
      </c>
      <c r="C15" s="12"/>
      <c r="D15" s="10"/>
      <c r="E15" s="10"/>
      <c r="F15" s="10"/>
      <c r="G15" s="10"/>
      <c r="H15" s="11" t="e">
        <f>J15+L15+N15</f>
        <v>#N/A</v>
      </c>
      <c r="I15" s="10"/>
      <c r="J15" s="11" t="e">
        <f>IF(G6="2020 Fall Quarter or Later",(VLOOKUP(J9,Data!F24:H43,3,FALSE)),(VLOOKUP(J9,Data!A2:C21,3,FALSE)))</f>
        <v>#N/A</v>
      </c>
      <c r="K15" s="10"/>
      <c r="L15" s="11" t="e">
        <f>IF(G6="2020 Fall Quarter or Later",(VLOOKUP(L9,Data!F24:H43,3,FALSE)),(VLOOKUP(L9,Data!A2:C21,3,FALSE)))</f>
        <v>#N/A</v>
      </c>
      <c r="M15" s="11"/>
      <c r="N15" s="11" t="e">
        <f>IF(G6="2020 Fall Quarter or Later",(VLOOKUP(N9,Data!F24:H43,3,FALSE)),(VLOOKUP(N9,Data!A2:C21,3,FALSE)))</f>
        <v>#N/A</v>
      </c>
      <c r="O15" s="10"/>
    </row>
    <row r="16" spans="2:15" ht="21.75" customHeight="1" x14ac:dyDescent="0.25">
      <c r="B16" s="41" t="s">
        <v>17</v>
      </c>
      <c r="C16" s="41"/>
      <c r="H16" s="5" t="e">
        <f>J16+L16+N16</f>
        <v>#N/A</v>
      </c>
      <c r="J16" s="5" t="e">
        <f>IF(J9&lt;&gt;"not enrolled",(VLOOKUP(J9,Data!A2:D21,4,FALSE)),0)</f>
        <v>#N/A</v>
      </c>
      <c r="L16" s="5" t="e">
        <f>IF(L9&lt;&gt;"not enrolled",(VLOOKUP(L9,Data!A2:D21,4,FALSE)),0)</f>
        <v>#N/A</v>
      </c>
      <c r="N16" s="5" t="e">
        <f>IF(N9&lt;&gt;"not enrolled",(VLOOKUP(N9,Data!A2:D21,4,FALSE)),0)</f>
        <v>#N/A</v>
      </c>
    </row>
    <row r="17" spans="2:15" ht="21.75" customHeight="1" x14ac:dyDescent="0.25">
      <c r="B17" s="79" t="s">
        <v>48</v>
      </c>
      <c r="C17" s="79"/>
      <c r="D17" s="79"/>
      <c r="E17" s="80"/>
      <c r="F17" s="31"/>
      <c r="G17" s="29"/>
      <c r="H17" s="30">
        <f>J17+L17+N17</f>
        <v>0</v>
      </c>
      <c r="I17" s="29"/>
      <c r="J17" s="30">
        <f>IF(AND(F17="Yes", J9&lt;&gt;"not enrolled"), (VLOOKUP(F17, Data!A24:C25, 2, FALSE)), 0)</f>
        <v>0</v>
      </c>
      <c r="K17" s="29"/>
      <c r="L17" s="30">
        <v>0</v>
      </c>
      <c r="M17" s="30"/>
      <c r="N17" s="30">
        <f>IF(AND(F17="Yes", N9&lt;&gt;"not enrolled"), (VLOOKUP(F17, Data!A24:C25, 2, FALSE)), 0)</f>
        <v>0</v>
      </c>
      <c r="O17" s="29"/>
    </row>
    <row r="18" spans="2:15" s="25" customFormat="1" ht="21.75" customHeight="1" x14ac:dyDescent="0.25">
      <c r="B18" s="81" t="s">
        <v>47</v>
      </c>
      <c r="C18" s="81"/>
      <c r="D18" s="81"/>
      <c r="E18" s="82"/>
      <c r="F18" s="50"/>
      <c r="G18" s="32"/>
      <c r="H18" s="33">
        <f>J18+L18+N18</f>
        <v>0</v>
      </c>
      <c r="I18" s="32"/>
      <c r="J18" s="33">
        <f>IF(AND(F18="Yes", J9&lt;&gt;"not enrolled",J9&lt;&gt;"4 credits",J9&lt;&gt;"5 credits"), (VLOOKUP(F18,Data!A24:C25, 3, FALSE)), 0)</f>
        <v>0</v>
      </c>
      <c r="K18" s="32"/>
      <c r="L18" s="33">
        <f>IF(AND(F18="Yes", L9&lt;&gt;"not enrolled",L9&lt;&gt;"4 credits",L9&lt;&gt;"5 credits"), (VLOOKUP(F18, Data!A24:C25, 3, FALSE)), 0)</f>
        <v>0</v>
      </c>
      <c r="M18" s="33"/>
      <c r="N18" s="33">
        <f>IF(AND(F18="Yes", N9&lt;&gt;"not enrolled",N9&lt;&gt;"4 credits",N9&lt;&gt;"5 credits"), (VLOOKUP(F18, Data!A24:C25, 3, FALSE)), 0)</f>
        <v>0</v>
      </c>
      <c r="O18" s="32"/>
    </row>
    <row r="19" spans="2:15" ht="21.75" customHeight="1" x14ac:dyDescent="0.25">
      <c r="D19" s="7" t="s">
        <v>6</v>
      </c>
      <c r="H19" s="8" t="e">
        <f>SUM(H13, H15:H18)</f>
        <v>#N/A</v>
      </c>
      <c r="J19" s="8" t="e">
        <f>SUM(J13,J15:J18)</f>
        <v>#N/A</v>
      </c>
      <c r="L19" s="8" t="e">
        <f>SUM(L13,L15:L18)</f>
        <v>#N/A</v>
      </c>
      <c r="M19" s="8"/>
      <c r="N19" s="8" t="e">
        <f>SUM(N13,N15:N18)</f>
        <v>#N/A</v>
      </c>
    </row>
    <row r="20" spans="2:15" ht="24" customHeight="1" x14ac:dyDescent="0.25"/>
    <row r="21" spans="2:15" ht="15.75" thickBot="1" x14ac:dyDescent="0.3">
      <c r="B21" s="1" t="s">
        <v>11</v>
      </c>
      <c r="C21" s="1"/>
      <c r="D21" s="2"/>
      <c r="E21" s="2"/>
      <c r="F21" s="2"/>
      <c r="G21" s="2"/>
      <c r="H21" s="4" t="s">
        <v>3</v>
      </c>
      <c r="I21" s="3"/>
      <c r="J21" s="4" t="s">
        <v>87</v>
      </c>
      <c r="K21" s="3"/>
      <c r="L21" s="4" t="s">
        <v>88</v>
      </c>
      <c r="M21" s="4"/>
      <c r="N21" s="4" t="s">
        <v>89</v>
      </c>
      <c r="O21" s="2"/>
    </row>
    <row r="22" spans="2:15" ht="21.75" customHeight="1" x14ac:dyDescent="0.25">
      <c r="B22" t="s">
        <v>16</v>
      </c>
      <c r="H22" s="15"/>
      <c r="J22" s="5">
        <f>IF((AND(J9&lt;&gt;"not enrolled", L9&lt;&gt;"not enrolled", N9&lt;&gt;"not enrolled")), (H22/3), IF((AND(J9&lt;&gt;"not enrolled", L9&lt;&gt;"not enrolled", N9="not enrolled")), (H22/2), IF((AND(J9&lt;&gt;"not enrolled", L9="not enrolled", N9="not enrolled")), (H22/1), 0)))</f>
        <v>0</v>
      </c>
      <c r="L22" s="5">
        <f>IF((AND(J9&lt;&gt;"not enrolled", L9&lt;&gt;"not enrolled", N9&lt;&gt;"not enrolled")), (H22/3), IF((AND(J9&lt;&gt;"not enrolled", L9&lt;&gt;"not enrolled", N9="not enrolled")), (H22/2), IF((AND(J9="not enrolled", L9&lt;&gt;"not enrolled", N9&lt;&gt;"not enrolled")), (H22/2), 0)))</f>
        <v>0</v>
      </c>
      <c r="N22" s="5">
        <f>IF((AND(J9&lt;&gt;"not enrolled", L9&lt;&gt;"not enrolled", N9&lt;&gt;"not enrolled")), (H22/3), IF((AND(J9="not enrolled", L9&lt;&gt;"not enrolled", N9&lt;&gt;"not enrolled")), (H22/2), IF((AND(J9="not enrolled", L9="not enrolled", N9&lt;&gt;"not enrolled")), (H22), 0)))</f>
        <v>0</v>
      </c>
    </row>
    <row r="23" spans="2:15" ht="21.75" customHeight="1" x14ac:dyDescent="0.25">
      <c r="B23" s="10" t="s">
        <v>8</v>
      </c>
      <c r="C23" s="10"/>
      <c r="D23" s="10"/>
      <c r="E23" s="10"/>
      <c r="F23" s="10"/>
      <c r="G23" s="10"/>
      <c r="H23" s="16"/>
      <c r="I23" s="10"/>
      <c r="J23" s="11">
        <f>IF((AND(J9&lt;&gt;"not enrolled", L9&lt;&gt;"not enrolled", N9&lt;&gt;"not enrolled")), (H23/3), IF((AND(J9&lt;&gt;"not enrolled", L9&lt;&gt;"not enrolled", N9="not enrolled")), (H23/2), IF((AND(J9&lt;&gt;"not enrolled", L9="not enrolled", N9="not enrolled")), (H23/1), 0)))</f>
        <v>0</v>
      </c>
      <c r="K23" s="10"/>
      <c r="L23" s="11">
        <f>IF((AND(J9&lt;&gt;"not enrolled", L9&lt;&gt;"not enrolled", N9&lt;&gt;"not enrolled")), (H23/3), IF((AND(J9&lt;&gt;"not enrolled", L9&lt;&gt;"not enrolled", N9="not enrolled")), (H23/2), IF((AND(J9="not enrolled", L9&lt;&gt;"not enrolled", N9&lt;&gt;"not enrolled")), (H23/2), 0)))</f>
        <v>0</v>
      </c>
      <c r="M23" s="11"/>
      <c r="N23" s="11">
        <f>IF((AND(J9&lt;&gt;"not enrolled", L9&lt;&gt;"not enrolled", N9&lt;&gt;"not enrolled")), (H23/3), IF((AND(J9="not enrolled", L9&lt;&gt;"not enrolled", N9&lt;&gt;"not enrolled")), (H23/2), IF((AND(J9="not enrolled", L9="not enrolled", N9&lt;&gt;"not enrolled")), (H23), 0)))</f>
        <v>0</v>
      </c>
      <c r="O23" s="10"/>
    </row>
    <row r="24" spans="2:15" ht="21.75" customHeight="1" x14ac:dyDescent="0.25">
      <c r="B24" t="s">
        <v>19</v>
      </c>
      <c r="F24" s="17"/>
      <c r="H24" s="5">
        <f>SUM(J24,L24,N24)</f>
        <v>0</v>
      </c>
      <c r="J24" s="5">
        <f>IF((AND(J9&lt;&gt;"not enrolled", L9&lt;&gt;"not enrolled", N9&lt;&gt;"not enrolled")), ROUND(((F24-(F24*0.01057))/3),0), IF((AND(J9&lt;&gt;"not enrolled", L9&lt;&gt;"not enrolled", N9="not enrolled")), ROUND(((F24-(F24*0.01057))/2),0), IF((AND(J9&lt;&gt;"not enrolled", L9="not enrolled", N9="not enrolled")), ROUND(((F24-(F24*0.01057))/1),0), 0)))</f>
        <v>0</v>
      </c>
      <c r="L24" s="5">
        <f>IF((AND(J9&lt;&gt;"not enrolled", L9&lt;&gt;"not enrolled", N9&lt;&gt;"not enrolled")), ROUND(((F24-(F24*0.01057))/3),0), IF((AND(J9&lt;&gt;"not enrolled", L9&lt;&gt;"not enrolled", N9="not enrolled")), ROUND(((F24-(F24*0.01057))/2),0), IF((AND(J9="not enrolled", L9&lt;&gt;"not enrolled", N9&lt;&gt;"not enrolled")), ROUND(((F24-(F24*0.01057))/2),0), 0)))</f>
        <v>0</v>
      </c>
      <c r="N24" s="5">
        <f>IF((AND(J9&lt;&gt;"not enrolled", L9&lt;&gt;"not enrolled", N9&lt;&gt;"not enrolled")), ROUND(((F24-(F24*0.01057))/3),0), IF((AND(J9="not enrolled", L9&lt;&gt;"not enrolled", N9&lt;&gt;"not enrolled")), ROUND(((F24-(F24*0.01057))/2),0), IF((AND(J9="not enrolled", L9="not enrolled", N9&lt;&gt;"not enrolled")), ROUND(((F24-(F24*0.01057))/1),0), 0)))</f>
        <v>0</v>
      </c>
    </row>
    <row r="25" spans="2:15" ht="21.75" customHeight="1" x14ac:dyDescent="0.25">
      <c r="B25" s="10" t="s">
        <v>20</v>
      </c>
      <c r="C25" s="10"/>
      <c r="D25" s="10"/>
      <c r="E25" s="10"/>
      <c r="F25" s="17"/>
      <c r="G25" s="10"/>
      <c r="H25" s="11">
        <f>SUM(J25,L25,N25)</f>
        <v>0</v>
      </c>
      <c r="I25" s="10"/>
      <c r="J25" s="11">
        <f>IF((AND(J9&lt;&gt;"not enrolled", L9&lt;&gt;"not enrolled", N9&lt;&gt;"not enrolled")), ROUND(((F25-(F25*0.04228))/3),0), IF((AND(J9&lt;&gt;"not enrolled", L9&lt;&gt;"not enrolled", N9="not enrolled")), ROUND(((F25-(F25*0.04228))/2),0), IF((AND(J9&lt;&gt;"not enrolled", L9="not enrolled", N9="not enrolled")), ROUND(((F25-(F25*0.04228))/1),0), 0)))</f>
        <v>0</v>
      </c>
      <c r="K25" s="10"/>
      <c r="L25" s="11">
        <f>IF((AND(J9&lt;&gt;"not enrolled", L9&lt;&gt;"not enrolled", N9&lt;&gt;"not enrolled")), ROUND(((F25-(F25*0.04228))/3),0), IF((AND(J9&lt;&gt;"not enrolled", L9&lt;&gt;"not enrolled", N9="not enrolled")), ROUND(((F25-(F25*0.04228))/2),0), IF((AND(J9="not enrolled", L9&lt;&gt;"not enrolled", N9&lt;&gt;"not enrolled")), ROUND(((F25-(F25*0.04228))/2),0), 0)))</f>
        <v>0</v>
      </c>
      <c r="M25" s="11"/>
      <c r="N25" s="11">
        <f>IF((AND(J9&lt;&gt;"not enrolled", L9&lt;&gt;"not enrolled", N9&lt;&gt;"not enrolled")), ROUND(((F25-(F25*0.04228))/3),0), IF((AND(J9="not enrolled", L9&lt;&gt;"not enrolled", N9&lt;&gt;"not enrolled")), ROUND(((F25-(F25*0.04228))/2),0), IF((AND(J9="not enrolled", L9="not enrolled", N9&lt;&gt;"not enrolled")), ROUND(((F25-(F25*0.04228))/1),0), 0)))</f>
        <v>0</v>
      </c>
      <c r="O25" s="10"/>
    </row>
    <row r="26" spans="2:15" ht="21.75" customHeight="1" x14ac:dyDescent="0.25">
      <c r="B26" s="83" t="s">
        <v>23</v>
      </c>
      <c r="C26" s="83"/>
      <c r="D26" s="83"/>
      <c r="E26" s="83"/>
      <c r="F26" s="83"/>
      <c r="H26" s="16"/>
      <c r="J26" s="5">
        <f>IF((AND(J9&lt;&gt;"not enrolled", L9&lt;&gt;"not enrolled", N9&lt;&gt;"not enrolled")), (H26/3), IF((AND(J9&lt;&gt;"not enrolled", L9&lt;&gt;"not enrolled", N9="not enrolled")), (H26/2), IF((AND(J9&lt;&gt;"not enrolled", L9="not enrolled", N9="not enrolled")), (H26/1), 0)))</f>
        <v>0</v>
      </c>
      <c r="L26" s="5">
        <f>IF((AND(J9&lt;&gt;"not enrolled", L9&lt;&gt;"not enrolled", N9&lt;&gt;"not enrolled")), (H26/3), IF((AND(J9&lt;&gt;"not enrolled", L9&lt;&gt;"not enrolled", N9="not enrolled")), (H26/2), IF((AND(J9="not enrolled", L9&lt;&gt;"not enrolled", N9&lt;&gt;"not enrolled")), (H26/2), 0)))</f>
        <v>0</v>
      </c>
      <c r="N26" s="5">
        <f>IF((AND(J9&lt;&gt;"not enrolled", L9&lt;&gt;"not enrolled", N9&lt;&gt;"not enrolled")), (H26/3), IF((AND(J9="not enrolled", L9&lt;&gt;"not enrolled", N9&lt;&gt;"not enrolled")), (H26/2), IF((AND(J9="not enrolled", L9="not enrolled", N9&lt;&gt;"not enrolled")), (H26), 0)))</f>
        <v>0</v>
      </c>
    </row>
    <row r="27" spans="2:15" ht="21.75" customHeight="1" x14ac:dyDescent="0.25">
      <c r="B27" s="84" t="s">
        <v>24</v>
      </c>
      <c r="C27" s="84"/>
      <c r="D27" s="84"/>
      <c r="E27" s="84"/>
      <c r="F27" s="84"/>
      <c r="G27" s="84"/>
      <c r="H27" s="27">
        <f>J27+L27+N27</f>
        <v>0</v>
      </c>
      <c r="I27" s="26"/>
      <c r="J27" s="18"/>
      <c r="K27" s="26"/>
      <c r="L27" s="18"/>
      <c r="M27" s="34"/>
      <c r="N27" s="58"/>
      <c r="O27" s="26"/>
    </row>
    <row r="28" spans="2:15" ht="21.75" customHeight="1" x14ac:dyDescent="0.25">
      <c r="D28" s="7" t="s">
        <v>10</v>
      </c>
      <c r="H28" s="5">
        <f>SUM(H22:H27)</f>
        <v>0</v>
      </c>
      <c r="J28" s="5">
        <f>SUM(J22:J27)</f>
        <v>0</v>
      </c>
      <c r="L28" s="5">
        <f>SUM(L22:L26,L27)</f>
        <v>0</v>
      </c>
      <c r="N28" s="5">
        <f>SUM(N22:N26,N27)</f>
        <v>0</v>
      </c>
    </row>
    <row r="29" spans="2:15" ht="15.75" thickBot="1" x14ac:dyDescent="0.3"/>
    <row r="30" spans="2:15" ht="21.75" customHeight="1" thickTop="1" thickBot="1" x14ac:dyDescent="0.35">
      <c r="B30" s="14" t="s">
        <v>12</v>
      </c>
      <c r="C30" s="14"/>
      <c r="D30" s="13"/>
      <c r="E30" s="13"/>
      <c r="F30" s="13"/>
      <c r="G30" s="13"/>
      <c r="H30" s="23" t="e">
        <f>H19-H28</f>
        <v>#N/A</v>
      </c>
      <c r="I30" s="24"/>
      <c r="J30" s="23" t="e">
        <f>J19-J28</f>
        <v>#N/A</v>
      </c>
      <c r="K30" s="24"/>
      <c r="L30" s="23" t="e">
        <f>L19-L28</f>
        <v>#N/A</v>
      </c>
      <c r="M30" s="23"/>
      <c r="N30" s="23" t="e">
        <f>N19-N28</f>
        <v>#N/A</v>
      </c>
      <c r="O30" s="13"/>
    </row>
    <row r="31" spans="2:15" ht="15.75" thickTop="1" x14ac:dyDescent="0.25"/>
    <row r="32" spans="2:15" x14ac:dyDescent="0.25">
      <c r="B32" s="7" t="s">
        <v>13</v>
      </c>
      <c r="C32" s="7"/>
    </row>
    <row r="33" spans="2:15" ht="21.75" customHeight="1" x14ac:dyDescent="0.25">
      <c r="B33" s="57">
        <v>1</v>
      </c>
      <c r="C33" s="55" t="str">
        <f>IF(G6="2020 Fall Quarter or Later",Data!A47,Data!A50)</f>
        <v>Tuition for the 2022-2023 academic year is $1,535 per credit. If enrolled in 12-18 credits, tuition will be charged a flat rate of $18,420.</v>
      </c>
      <c r="D33" s="56"/>
      <c r="E33" s="56"/>
      <c r="F33" s="56"/>
      <c r="G33" s="56"/>
      <c r="H33" s="56"/>
      <c r="I33" s="56"/>
      <c r="J33" s="56"/>
      <c r="K33" s="56"/>
      <c r="L33" s="56"/>
      <c r="M33" s="56"/>
      <c r="N33" s="56"/>
      <c r="O33" s="56"/>
    </row>
    <row r="34" spans="2:15" ht="18" customHeight="1" x14ac:dyDescent="0.25">
      <c r="B34" s="54">
        <v>2</v>
      </c>
      <c r="C34" s="55" t="s">
        <v>49</v>
      </c>
      <c r="D34" s="55"/>
      <c r="E34" s="55"/>
      <c r="F34" s="55"/>
      <c r="G34" s="55"/>
      <c r="H34" s="55"/>
      <c r="I34" s="55"/>
      <c r="J34" s="55"/>
      <c r="K34" s="55"/>
      <c r="L34" s="55"/>
      <c r="M34" s="55"/>
      <c r="N34" s="55"/>
      <c r="O34" s="55"/>
    </row>
    <row r="35" spans="2:15" ht="18" customHeight="1" x14ac:dyDescent="0.25">
      <c r="B35" s="54">
        <v>3</v>
      </c>
      <c r="C35" t="s">
        <v>71</v>
      </c>
    </row>
    <row r="36" spans="2:15" ht="46.5" customHeight="1" x14ac:dyDescent="0.25">
      <c r="B36" s="53">
        <v>4</v>
      </c>
      <c r="C36" s="85" t="s">
        <v>72</v>
      </c>
      <c r="D36" s="85"/>
      <c r="E36" s="85"/>
      <c r="F36" s="85"/>
      <c r="G36" s="85"/>
      <c r="H36" s="85"/>
      <c r="I36" s="85"/>
      <c r="J36" s="85"/>
      <c r="K36" s="85"/>
      <c r="L36" s="85"/>
      <c r="M36" s="85"/>
      <c r="N36" s="85"/>
      <c r="O36" s="85"/>
    </row>
    <row r="37" spans="2:15" ht="21.75" customHeight="1" x14ac:dyDescent="0.25"/>
    <row r="39" spans="2:15" x14ac:dyDescent="0.25">
      <c r="B39" s="70" t="s">
        <v>14</v>
      </c>
      <c r="C39" s="70"/>
      <c r="D39" s="70"/>
      <c r="E39" s="70"/>
      <c r="F39" s="70"/>
      <c r="G39" s="70"/>
      <c r="H39" s="70"/>
      <c r="I39" s="70"/>
      <c r="J39" s="70"/>
      <c r="K39" s="70"/>
      <c r="L39" s="70"/>
      <c r="M39" s="70"/>
      <c r="N39" s="70"/>
      <c r="O39" s="70"/>
    </row>
  </sheetData>
  <sheetProtection algorithmName="SHA-512" hashValue="clNgRoua3XhhclbuY6G4E2hqz/4uIRTYv0lseaaoRgAR6rbOZA56lBuIMBAz/KD/KEvkr24VO1oZzaZ70dq2GQ==" saltValue="m9U/mXYGE+qcOBOoEN7JDQ==" spinCount="100000" sheet="1" objects="1" scenarios="1" selectLockedCells="1"/>
  <mergeCells count="10">
    <mergeCell ref="B26:F26"/>
    <mergeCell ref="B27:G27"/>
    <mergeCell ref="C36:O36"/>
    <mergeCell ref="B39:O39"/>
    <mergeCell ref="H2:O2"/>
    <mergeCell ref="C4:O4"/>
    <mergeCell ref="G6:H6"/>
    <mergeCell ref="D13:E13"/>
    <mergeCell ref="B17:E17"/>
    <mergeCell ref="B18:E18"/>
  </mergeCells>
  <hyperlinks>
    <hyperlink ref="B17" r:id="rId1" display="Will you enroll in DU's health insurance plan?" xr:uid="{00000000-0004-0000-0300-000000000000}"/>
    <hyperlink ref="B18" r:id="rId2" display="Will you use DU Health &amp; Counseling Services? " xr:uid="{00000000-0004-0000-03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Data!$A$27:$A$28</xm:f>
          </x14:formula1>
          <xm:sqref>G6:H6</xm:sqref>
        </x14:dataValidation>
        <x14:dataValidation type="list" allowBlank="1" showInputMessage="1" showErrorMessage="1" xr:uid="{00000000-0002-0000-0300-000001000000}">
          <x14:formula1>
            <xm:f>Data!$A$24:$A$25</xm:f>
          </x14:formula1>
          <xm:sqref>F17:F18</xm:sqref>
        </x14:dataValidation>
        <x14:dataValidation type="list" allowBlank="1" showInputMessage="1" showErrorMessage="1" xr:uid="{00000000-0002-0000-0300-000002000000}">
          <x14:formula1>
            <xm:f>Data!$A$2:$A$21</xm:f>
          </x14:formula1>
          <xm:sqref>L9 J9 N9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9"/>
  <sheetViews>
    <sheetView showGridLines="0" showRowColHeaders="0" showRuler="0" zoomScaleNormal="100" workbookViewId="0">
      <selection activeCell="G6" sqref="G6:H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4" t="s">
        <v>83</v>
      </c>
      <c r="I2" s="75"/>
      <c r="J2" s="75"/>
      <c r="K2" s="75"/>
      <c r="L2" s="75"/>
      <c r="M2" s="75"/>
      <c r="N2" s="75"/>
      <c r="O2" s="75"/>
    </row>
    <row r="3" spans="2:15" ht="8.25" customHeight="1" x14ac:dyDescent="0.25">
      <c r="B3" s="19"/>
      <c r="C3" s="19"/>
      <c r="D3" s="19"/>
      <c r="E3" s="19"/>
      <c r="F3" s="19"/>
      <c r="G3" s="19"/>
      <c r="H3" s="20"/>
      <c r="I3" s="21"/>
      <c r="J3" s="21"/>
      <c r="K3" s="21"/>
      <c r="L3" s="21"/>
      <c r="M3" s="21"/>
      <c r="N3" s="21"/>
      <c r="O3" s="21"/>
    </row>
    <row r="4" spans="2:15" ht="26.1" customHeight="1" x14ac:dyDescent="0.25">
      <c r="B4" s="61"/>
      <c r="C4" s="73" t="s">
        <v>55</v>
      </c>
      <c r="D4" s="73"/>
      <c r="E4" s="73"/>
      <c r="F4" s="73"/>
      <c r="G4" s="73"/>
      <c r="H4" s="73"/>
      <c r="I4" s="73"/>
      <c r="J4" s="73"/>
      <c r="K4" s="73"/>
      <c r="L4" s="73"/>
      <c r="M4" s="73"/>
      <c r="N4" s="73"/>
      <c r="O4" s="73"/>
    </row>
    <row r="5" spans="2:15" ht="24" customHeight="1" x14ac:dyDescent="0.25">
      <c r="B5" s="61"/>
      <c r="C5" s="68"/>
      <c r="D5" s="61"/>
      <c r="E5" s="61"/>
      <c r="F5" s="61"/>
      <c r="G5" s="61"/>
      <c r="H5" s="61"/>
      <c r="I5" s="61"/>
      <c r="J5" s="61"/>
      <c r="K5" s="61"/>
      <c r="L5" s="61"/>
      <c r="M5" s="61"/>
      <c r="N5" s="61"/>
      <c r="O5" s="61"/>
    </row>
    <row r="6" spans="2:15" ht="19.5" customHeight="1" x14ac:dyDescent="0.3">
      <c r="D6" s="6" t="s">
        <v>50</v>
      </c>
      <c r="G6" s="76"/>
      <c r="H6" s="77"/>
      <c r="J6" s="49"/>
      <c r="L6" s="49"/>
      <c r="N6" s="49"/>
    </row>
    <row r="7" spans="2:15" ht="19.5" customHeight="1" x14ac:dyDescent="0.25">
      <c r="J7" s="49"/>
      <c r="L7" s="49"/>
      <c r="N7" s="49"/>
    </row>
    <row r="8" spans="2:15" ht="19.5" customHeight="1" x14ac:dyDescent="0.25">
      <c r="J8" s="49" t="s">
        <v>84</v>
      </c>
      <c r="L8" s="49" t="s">
        <v>85</v>
      </c>
      <c r="N8" s="49" t="s">
        <v>86</v>
      </c>
    </row>
    <row r="9" spans="2:15" ht="18" customHeight="1" x14ac:dyDescent="0.3">
      <c r="D9" s="6" t="s">
        <v>15</v>
      </c>
      <c r="E9" s="28"/>
      <c r="F9" s="28"/>
      <c r="G9" s="28"/>
      <c r="H9" s="28"/>
      <c r="I9" s="28"/>
      <c r="J9" s="48"/>
      <c r="L9" s="48"/>
      <c r="M9" s="22"/>
      <c r="N9" s="48"/>
      <c r="O9" s="28"/>
    </row>
    <row r="10" spans="2:15" ht="6" customHeight="1" x14ac:dyDescent="0.25"/>
    <row r="11" spans="2:15" ht="15.75" thickBot="1" x14ac:dyDescent="0.3">
      <c r="B11" s="1" t="s">
        <v>7</v>
      </c>
      <c r="C11" s="1"/>
      <c r="D11" s="2"/>
      <c r="E11" s="2"/>
      <c r="F11" s="2"/>
      <c r="G11" s="2"/>
      <c r="H11" s="4" t="s">
        <v>3</v>
      </c>
      <c r="I11" s="3"/>
      <c r="J11" s="4" t="s">
        <v>87</v>
      </c>
      <c r="K11" s="3"/>
      <c r="L11" s="4" t="s">
        <v>88</v>
      </c>
      <c r="M11" s="4"/>
      <c r="N11" s="4" t="s">
        <v>89</v>
      </c>
      <c r="O11" s="2"/>
    </row>
    <row r="12" spans="2:15" ht="9" customHeight="1" x14ac:dyDescent="0.25"/>
    <row r="13" spans="2:15" ht="21.75" customHeight="1" x14ac:dyDescent="0.25">
      <c r="B13" s="9" t="s">
        <v>1</v>
      </c>
      <c r="C13" s="9"/>
      <c r="D13" s="78"/>
      <c r="E13" s="78"/>
      <c r="F13" s="10"/>
      <c r="G13" s="10"/>
      <c r="H13" s="11" t="e">
        <f>J13+L13+N13</f>
        <v>#N/A</v>
      </c>
      <c r="I13" s="10"/>
      <c r="J13" s="11" t="e">
        <f>IF(G6="2020 Fall Quarter or Later",(VLOOKUP(J9,Data!J24:K43,2,FALSE)),(VLOOKUP(J9,Data!A2:B21,2,FALSE)))</f>
        <v>#N/A</v>
      </c>
      <c r="K13" s="10"/>
      <c r="L13" s="11" t="e">
        <f>IF(G6="2020 Fall Quarter or Later",(VLOOKUP(L9,Data!J24:K43,2,FALSE)),(VLOOKUP(L9,Data!A2:B21,2,FALSE)))</f>
        <v>#N/A</v>
      </c>
      <c r="M13" s="11"/>
      <c r="N13" s="11" t="e">
        <f>IF(G6="2020 Fall Quarter or Later",(VLOOKUP(N9,Data!J24:K43,2,FALSE)),(VLOOKUP(N9,Data!A2:B21,2,FALSE)))</f>
        <v>#N/A</v>
      </c>
      <c r="O13" s="10"/>
    </row>
    <row r="14" spans="2:15" ht="21.75" customHeight="1" x14ac:dyDescent="0.25">
      <c r="B14" s="60" t="s">
        <v>0</v>
      </c>
      <c r="C14" s="60"/>
    </row>
    <row r="15" spans="2:15" ht="21.75" customHeight="1" x14ac:dyDescent="0.25">
      <c r="B15" s="12" t="s">
        <v>2</v>
      </c>
      <c r="C15" s="12"/>
      <c r="D15" s="10"/>
      <c r="E15" s="10"/>
      <c r="F15" s="10"/>
      <c r="G15" s="10"/>
      <c r="H15" s="11" t="e">
        <f>J15+L15+N15</f>
        <v>#N/A</v>
      </c>
      <c r="I15" s="10"/>
      <c r="J15" s="11" t="e">
        <f>IF(G6="2020 Fall Quarter or Later",(VLOOKUP(J9,Data!J24:L43,3,FALSE)),(VLOOKUP(J9,Data!A2:C21,3,FALSE)))</f>
        <v>#N/A</v>
      </c>
      <c r="K15" s="10"/>
      <c r="L15" s="11" t="e">
        <f>IF(G6="2020 Fall Quarter or Later",(VLOOKUP(L9,Data!J24:L43,3,FALSE)),(VLOOKUP(L9,Data!A2:C21,3,FALSE)))</f>
        <v>#N/A</v>
      </c>
      <c r="M15" s="11"/>
      <c r="N15" s="11" t="e">
        <f>IF(G6="2020 Fall Quarter or Later",(VLOOKUP(N9,Data!J24:L43,3,FALSE)),(VLOOKUP(N9,Data!A2:C21,3,FALSE)))</f>
        <v>#N/A</v>
      </c>
      <c r="O15" s="10"/>
    </row>
    <row r="16" spans="2:15" ht="21.75" customHeight="1" x14ac:dyDescent="0.25">
      <c r="B16" s="41" t="s">
        <v>17</v>
      </c>
      <c r="C16" s="41"/>
      <c r="H16" s="5" t="e">
        <f>J16+L16+N16</f>
        <v>#N/A</v>
      </c>
      <c r="J16" s="5" t="e">
        <f>IF(J9&lt;&gt;"not enrolled",(VLOOKUP(J9,Data!A2:D21,4,FALSE)),0)</f>
        <v>#N/A</v>
      </c>
      <c r="L16" s="5" t="e">
        <f>IF(L9&lt;&gt;"not enrolled",(VLOOKUP(L9,Data!A2:D21,4,FALSE)),0)</f>
        <v>#N/A</v>
      </c>
      <c r="N16" s="5" t="e">
        <f>IF(N9&lt;&gt;"not enrolled",(VLOOKUP(N9,Data!A2:D21,4,FALSE)),0)</f>
        <v>#N/A</v>
      </c>
    </row>
    <row r="17" spans="2:15" ht="21.75" customHeight="1" x14ac:dyDescent="0.25">
      <c r="B17" s="79" t="s">
        <v>48</v>
      </c>
      <c r="C17" s="79"/>
      <c r="D17" s="79"/>
      <c r="E17" s="80"/>
      <c r="F17" s="31"/>
      <c r="G17" s="29"/>
      <c r="H17" s="30">
        <f>J17+L17+N17</f>
        <v>0</v>
      </c>
      <c r="I17" s="29"/>
      <c r="J17" s="30">
        <f>IF(AND(F17="Yes", J9&lt;&gt;"not enrolled"), (VLOOKUP(F17, Data!A24:C25, 2, FALSE)), 0)</f>
        <v>0</v>
      </c>
      <c r="K17" s="29"/>
      <c r="L17" s="30">
        <v>0</v>
      </c>
      <c r="M17" s="30"/>
      <c r="N17" s="30">
        <f>IF(AND(F17="Yes", N9&lt;&gt;"not enrolled"), (VLOOKUP(F17, Data!A24:C25, 2, FALSE)), 0)</f>
        <v>0</v>
      </c>
      <c r="O17" s="29"/>
    </row>
    <row r="18" spans="2:15" s="25" customFormat="1" ht="21.75" customHeight="1" x14ac:dyDescent="0.25">
      <c r="B18" s="81" t="s">
        <v>47</v>
      </c>
      <c r="C18" s="81"/>
      <c r="D18" s="81"/>
      <c r="E18" s="82"/>
      <c r="F18" s="50"/>
      <c r="G18" s="32"/>
      <c r="H18" s="33">
        <f>J18+L18+N18</f>
        <v>0</v>
      </c>
      <c r="I18" s="32"/>
      <c r="J18" s="33">
        <f>IF(AND(F18="Yes", J9&lt;&gt;"not enrolled",J9&lt;&gt;"4 credits",J9&lt;&gt;"5 credits"), (VLOOKUP(F18,Data!A24:C25, 3, FALSE)), 0)</f>
        <v>0</v>
      </c>
      <c r="K18" s="32"/>
      <c r="L18" s="33">
        <f>IF(AND(F18="Yes", L9&lt;&gt;"not enrolled",L9&lt;&gt;"4 credits",L9&lt;&gt;"5 credits"), (VLOOKUP(F18, Data!A24:C25, 3, FALSE)), 0)</f>
        <v>0</v>
      </c>
      <c r="M18" s="33"/>
      <c r="N18" s="33">
        <f>IF(AND(F18="Yes", N9&lt;&gt;"not enrolled",N9&lt;&gt;"4 credits",N9&lt;&gt;"5 credits"), (VLOOKUP(F18, Data!A24:C25, 3, FALSE)), 0)</f>
        <v>0</v>
      </c>
      <c r="O18" s="32"/>
    </row>
    <row r="19" spans="2:15" ht="21.75" customHeight="1" x14ac:dyDescent="0.25">
      <c r="D19" s="7" t="s">
        <v>6</v>
      </c>
      <c r="H19" s="8" t="e">
        <f>SUM(H13, H15:H18)</f>
        <v>#N/A</v>
      </c>
      <c r="J19" s="8" t="e">
        <f>SUM(J13,J15:J18)</f>
        <v>#N/A</v>
      </c>
      <c r="L19" s="8" t="e">
        <f>SUM(L13,L15:L18)</f>
        <v>#N/A</v>
      </c>
      <c r="M19" s="8"/>
      <c r="N19" s="8" t="e">
        <f>SUM(N13,N15:N18)</f>
        <v>#N/A</v>
      </c>
    </row>
    <row r="20" spans="2:15" ht="24" customHeight="1" x14ac:dyDescent="0.25"/>
    <row r="21" spans="2:15" ht="15.75" thickBot="1" x14ac:dyDescent="0.3">
      <c r="B21" s="1" t="s">
        <v>11</v>
      </c>
      <c r="C21" s="1"/>
      <c r="D21" s="2"/>
      <c r="E21" s="2"/>
      <c r="F21" s="2"/>
      <c r="G21" s="2"/>
      <c r="H21" s="4" t="s">
        <v>3</v>
      </c>
      <c r="I21" s="3"/>
      <c r="J21" s="4" t="s">
        <v>87</v>
      </c>
      <c r="K21" s="3"/>
      <c r="L21" s="4" t="s">
        <v>88</v>
      </c>
      <c r="M21" s="4"/>
      <c r="N21" s="4" t="s">
        <v>89</v>
      </c>
      <c r="O21" s="2"/>
    </row>
    <row r="22" spans="2:15" ht="21.75" customHeight="1" x14ac:dyDescent="0.25">
      <c r="B22" t="s">
        <v>16</v>
      </c>
      <c r="H22" s="15"/>
      <c r="J22" s="5">
        <f>IF((AND(J9&lt;&gt;"not enrolled", L9&lt;&gt;"not enrolled", N9&lt;&gt;"not enrolled")), (H22/3), IF((AND(J9&lt;&gt;"not enrolled", L9&lt;&gt;"not enrolled", N9="not enrolled")), (H22/2), IF((AND(J9&lt;&gt;"not enrolled", L9="not enrolled", N9="not enrolled")), (H22/1), 0)))</f>
        <v>0</v>
      </c>
      <c r="L22" s="5">
        <f>IF((AND(J9&lt;&gt;"not enrolled", L9&lt;&gt;"not enrolled", N9&lt;&gt;"not enrolled")), (H22/3), IF((AND(J9&lt;&gt;"not enrolled", L9&lt;&gt;"not enrolled", N9="not enrolled")), (H22/2), IF((AND(J9="not enrolled", L9&lt;&gt;"not enrolled", N9&lt;&gt;"not enrolled")), (H22/2), 0)))</f>
        <v>0</v>
      </c>
      <c r="N22" s="5">
        <f>IF((AND(J9&lt;&gt;"not enrolled", L9&lt;&gt;"not enrolled", N9&lt;&gt;"not enrolled")), (H22/3), IF((AND(J9="not enrolled", L9&lt;&gt;"not enrolled", N9&lt;&gt;"not enrolled")), (H22/2), IF((AND(J9="not enrolled", L9="not enrolled", N9&lt;&gt;"not enrolled")), (H22), 0)))</f>
        <v>0</v>
      </c>
    </row>
    <row r="23" spans="2:15" ht="21.75" customHeight="1" x14ac:dyDescent="0.25">
      <c r="B23" s="10" t="s">
        <v>8</v>
      </c>
      <c r="C23" s="10"/>
      <c r="D23" s="10"/>
      <c r="E23" s="10"/>
      <c r="F23" s="10"/>
      <c r="G23" s="10"/>
      <c r="H23" s="16"/>
      <c r="I23" s="10"/>
      <c r="J23" s="11">
        <f>IF((AND(J9&lt;&gt;"not enrolled", L9&lt;&gt;"not enrolled", N9&lt;&gt;"not enrolled")), (H23/3), IF((AND(J9&lt;&gt;"not enrolled", L9&lt;&gt;"not enrolled", N9="not enrolled")), (H23/2), IF((AND(J9&lt;&gt;"not enrolled", L9="not enrolled", N9="not enrolled")), (H23/1), 0)))</f>
        <v>0</v>
      </c>
      <c r="K23" s="10"/>
      <c r="L23" s="11">
        <f>IF((AND(J9&lt;&gt;"not enrolled", L9&lt;&gt;"not enrolled", N9&lt;&gt;"not enrolled")), (H23/3), IF((AND(J9&lt;&gt;"not enrolled", L9&lt;&gt;"not enrolled", N9="not enrolled")), (H23/2), IF((AND(J9="not enrolled", L9&lt;&gt;"not enrolled", N9&lt;&gt;"not enrolled")), (H23/2), 0)))</f>
        <v>0</v>
      </c>
      <c r="M23" s="11"/>
      <c r="N23" s="11">
        <f>IF((AND(J9&lt;&gt;"not enrolled", L9&lt;&gt;"not enrolled", N9&lt;&gt;"not enrolled")), (H23/3), IF((AND(J9="not enrolled", L9&lt;&gt;"not enrolled", N9&lt;&gt;"not enrolled")), (H23/2), IF((AND(J9="not enrolled", L9="not enrolled", N9&lt;&gt;"not enrolled")), (H23), 0)))</f>
        <v>0</v>
      </c>
      <c r="O23" s="10"/>
    </row>
    <row r="24" spans="2:15" ht="21.75" customHeight="1" x14ac:dyDescent="0.25">
      <c r="B24" t="s">
        <v>19</v>
      </c>
      <c r="F24" s="17"/>
      <c r="H24" s="5">
        <f>SUM(J24,L24,N24)</f>
        <v>0</v>
      </c>
      <c r="J24" s="5">
        <f>IF((AND(J9&lt;&gt;"not enrolled", L9&lt;&gt;"not enrolled", N9&lt;&gt;"not enrolled")), ROUND(((F24-(F24*0.01057))/3),0), IF((AND(J9&lt;&gt;"not enrolled", L9&lt;&gt;"not enrolled", N9="not enrolled")), ROUND(((F24-(F24*0.01057))/2),0), IF((AND(J9&lt;&gt;"not enrolled", L9="not enrolled", N9="not enrolled")), ROUND(((F24-(F24*0.01057))/1),0), 0)))</f>
        <v>0</v>
      </c>
      <c r="L24" s="5">
        <f>IF((AND(J9&lt;&gt;"not enrolled", L9&lt;&gt;"not enrolled", N9&lt;&gt;"not enrolled")), ROUND(((F24-(F24*0.01057))/3),0), IF((AND(J9&lt;&gt;"not enrolled", L9&lt;&gt;"not enrolled", N9="not enrolled")), ROUND(((F24-(F24*0.01057))/2),0), IF((AND(J9="not enrolled", L9&lt;&gt;"not enrolled", N9&lt;&gt;"not enrolled")), ROUND(((F24-(F24*0.01057))/2),0), 0)))</f>
        <v>0</v>
      </c>
      <c r="N24" s="5">
        <f>IF((AND(J9&lt;&gt;"not enrolled", L9&lt;&gt;"not enrolled", N9&lt;&gt;"not enrolled")), ROUND(((F24-(F24*0.01057))/3),0), IF((AND(J9="not enrolled", L9&lt;&gt;"not enrolled", N9&lt;&gt;"not enrolled")), ROUND(((F24-(F24*0.01057))/2),0), IF((AND(J9="not enrolled", L9="not enrolled", N9&lt;&gt;"not enrolled")), ROUND(((F24-(F24*0.01057))/1),0), 0)))</f>
        <v>0</v>
      </c>
    </row>
    <row r="25" spans="2:15" ht="21.75" customHeight="1" x14ac:dyDescent="0.25">
      <c r="B25" s="10" t="s">
        <v>20</v>
      </c>
      <c r="C25" s="10"/>
      <c r="D25" s="10"/>
      <c r="E25" s="10"/>
      <c r="F25" s="17"/>
      <c r="G25" s="10"/>
      <c r="H25" s="11">
        <f>SUM(J25,L25,N25)</f>
        <v>0</v>
      </c>
      <c r="I25" s="10"/>
      <c r="J25" s="11">
        <f>IF((AND(J9&lt;&gt;"not enrolled", L9&lt;&gt;"not enrolled", N9&lt;&gt;"not enrolled")), ROUND(((F25-(F25*0.04228))/3),0), IF((AND(J9&lt;&gt;"not enrolled", L9&lt;&gt;"not enrolled", N9="not enrolled")), ROUND(((F25-(F25*0.04228))/2),0), IF((AND(J9&lt;&gt;"not enrolled", L9="not enrolled", N9="not enrolled")), ROUND(((F25-(F25*0.04228))/1),0), 0)))</f>
        <v>0</v>
      </c>
      <c r="K25" s="10"/>
      <c r="L25" s="11">
        <f>IF((AND(J9&lt;&gt;"not enrolled", L9&lt;&gt;"not enrolled", N9&lt;&gt;"not enrolled")), ROUND(((F25-(F25*0.04228))/3),0), IF((AND(J9&lt;&gt;"not enrolled", L9&lt;&gt;"not enrolled", N9="not enrolled")), ROUND(((F25-(F25*0.04228))/2),0), IF((AND(J9="not enrolled", L9&lt;&gt;"not enrolled", N9&lt;&gt;"not enrolled")), ROUND(((F25-(F25*0.04228))/2),0), 0)))</f>
        <v>0</v>
      </c>
      <c r="M25" s="11"/>
      <c r="N25" s="11">
        <f>IF((AND(J9&lt;&gt;"not enrolled", L9&lt;&gt;"not enrolled", N9&lt;&gt;"not enrolled")), ROUND(((F25-(F25*0.04228))/3),0), IF((AND(J9="not enrolled", L9&lt;&gt;"not enrolled", N9&lt;&gt;"not enrolled")), ROUND(((F25-(F25*0.04228))/2),0), IF((AND(J9="not enrolled", L9="not enrolled", N9&lt;&gt;"not enrolled")), ROUND(((F25-(F25*0.04228))/1),0), 0)))</f>
        <v>0</v>
      </c>
      <c r="O25" s="10"/>
    </row>
    <row r="26" spans="2:15" ht="21.75" customHeight="1" x14ac:dyDescent="0.25">
      <c r="B26" s="83" t="s">
        <v>23</v>
      </c>
      <c r="C26" s="83"/>
      <c r="D26" s="83"/>
      <c r="E26" s="83"/>
      <c r="F26" s="83"/>
      <c r="H26" s="16"/>
      <c r="J26" s="5">
        <f>IF((AND(J9&lt;&gt;"not enrolled", L9&lt;&gt;"not enrolled", N9&lt;&gt;"not enrolled")), (H26/3), IF((AND(J9&lt;&gt;"not enrolled", L9&lt;&gt;"not enrolled", N9="not enrolled")), (H26/2), IF((AND(J9&lt;&gt;"not enrolled", L9="not enrolled", N9="not enrolled")), (H26/1), 0)))</f>
        <v>0</v>
      </c>
      <c r="L26" s="5">
        <f>IF((AND(J9&lt;&gt;"not enrolled", L9&lt;&gt;"not enrolled", N9&lt;&gt;"not enrolled")), (H26/3), IF((AND(J9&lt;&gt;"not enrolled", L9&lt;&gt;"not enrolled", N9="not enrolled")), (H26/2), IF((AND(J9="not enrolled", L9&lt;&gt;"not enrolled", N9&lt;&gt;"not enrolled")), (H26/2), 0)))</f>
        <v>0</v>
      </c>
      <c r="N26" s="5">
        <f>IF((AND(J9&lt;&gt;"not enrolled", L9&lt;&gt;"not enrolled", N9&lt;&gt;"not enrolled")), (H26/3), IF((AND(J9="not enrolled", L9&lt;&gt;"not enrolled", N9&lt;&gt;"not enrolled")), (H26/2), IF((AND(J9="not enrolled", L9="not enrolled", N9&lt;&gt;"not enrolled")), (H26), 0)))</f>
        <v>0</v>
      </c>
    </row>
    <row r="27" spans="2:15" ht="21.75" customHeight="1" x14ac:dyDescent="0.25">
      <c r="B27" s="84" t="s">
        <v>24</v>
      </c>
      <c r="C27" s="84"/>
      <c r="D27" s="84"/>
      <c r="E27" s="84"/>
      <c r="F27" s="84"/>
      <c r="G27" s="84"/>
      <c r="H27" s="27">
        <f>J27+L27+N27</f>
        <v>0</v>
      </c>
      <c r="I27" s="26"/>
      <c r="J27" s="18"/>
      <c r="K27" s="26"/>
      <c r="L27" s="18"/>
      <c r="M27" s="34"/>
      <c r="N27" s="58"/>
      <c r="O27" s="26"/>
    </row>
    <row r="28" spans="2:15" ht="21.75" customHeight="1" x14ac:dyDescent="0.25">
      <c r="D28" s="7" t="s">
        <v>10</v>
      </c>
      <c r="H28" s="5">
        <f>SUM(H22:H27)</f>
        <v>0</v>
      </c>
      <c r="J28" s="5">
        <f>SUM(J22:J27)</f>
        <v>0</v>
      </c>
      <c r="L28" s="5">
        <f>SUM(L22:L26,L27)</f>
        <v>0</v>
      </c>
      <c r="N28" s="5">
        <f>SUM(N22:N26,N27)</f>
        <v>0</v>
      </c>
    </row>
    <row r="29" spans="2:15" ht="15.75" thickBot="1" x14ac:dyDescent="0.3"/>
    <row r="30" spans="2:15" ht="21.75" customHeight="1" thickTop="1" thickBot="1" x14ac:dyDescent="0.35">
      <c r="B30" s="14" t="s">
        <v>12</v>
      </c>
      <c r="C30" s="14"/>
      <c r="D30" s="13"/>
      <c r="E30" s="13"/>
      <c r="F30" s="13"/>
      <c r="G30" s="13"/>
      <c r="H30" s="23" t="e">
        <f>H19-H28</f>
        <v>#N/A</v>
      </c>
      <c r="I30" s="24"/>
      <c r="J30" s="23" t="e">
        <f>J19-J28</f>
        <v>#N/A</v>
      </c>
      <c r="K30" s="24"/>
      <c r="L30" s="23" t="e">
        <f>L19-L28</f>
        <v>#N/A</v>
      </c>
      <c r="M30" s="23"/>
      <c r="N30" s="23" t="e">
        <f>N19-N28</f>
        <v>#N/A</v>
      </c>
      <c r="O30" s="13"/>
    </row>
    <row r="31" spans="2:15" ht="15.75" thickTop="1" x14ac:dyDescent="0.25"/>
    <row r="32" spans="2:15" x14ac:dyDescent="0.25">
      <c r="B32" s="7" t="s">
        <v>13</v>
      </c>
      <c r="C32" s="7"/>
    </row>
    <row r="33" spans="2:15" ht="21.75" customHeight="1" x14ac:dyDescent="0.25">
      <c r="B33" s="57">
        <v>1</v>
      </c>
      <c r="C33" s="55" t="str">
        <f>IF(G6="2020 Fall Quarter or Later",Data!A48,Data!A50)</f>
        <v>Tuition for the 2022-2023 academic year is $1,535 per credit. If enrolled in 12-18 credits, tuition will be charged a flat rate of $18,420.</v>
      </c>
      <c r="D33" s="56"/>
      <c r="E33" s="56"/>
      <c r="F33" s="56"/>
      <c r="G33" s="56"/>
      <c r="H33" s="56"/>
      <c r="I33" s="56"/>
      <c r="J33" s="56"/>
      <c r="K33" s="56"/>
      <c r="L33" s="56"/>
      <c r="M33" s="56"/>
      <c r="N33" s="56"/>
      <c r="O33" s="56"/>
    </row>
    <row r="34" spans="2:15" ht="18" customHeight="1" x14ac:dyDescent="0.25">
      <c r="B34" s="54">
        <v>2</v>
      </c>
      <c r="C34" s="55" t="s">
        <v>49</v>
      </c>
      <c r="D34" s="55"/>
      <c r="E34" s="55"/>
      <c r="F34" s="55"/>
      <c r="G34" s="55"/>
      <c r="H34" s="55"/>
      <c r="I34" s="55"/>
      <c r="J34" s="55"/>
      <c r="K34" s="55"/>
      <c r="L34" s="55"/>
      <c r="M34" s="55"/>
      <c r="N34" s="55"/>
      <c r="O34" s="55"/>
    </row>
    <row r="35" spans="2:15" ht="18" customHeight="1" x14ac:dyDescent="0.25">
      <c r="B35" s="54">
        <v>3</v>
      </c>
      <c r="C35" t="s">
        <v>71</v>
      </c>
    </row>
    <row r="36" spans="2:15" ht="46.5" customHeight="1" x14ac:dyDescent="0.25">
      <c r="B36" s="53">
        <v>4</v>
      </c>
      <c r="C36" s="85" t="s">
        <v>72</v>
      </c>
      <c r="D36" s="85"/>
      <c r="E36" s="85"/>
      <c r="F36" s="85"/>
      <c r="G36" s="85"/>
      <c r="H36" s="85"/>
      <c r="I36" s="85"/>
      <c r="J36" s="85"/>
      <c r="K36" s="85"/>
      <c r="L36" s="85"/>
      <c r="M36" s="85"/>
      <c r="N36" s="85"/>
      <c r="O36" s="85"/>
    </row>
    <row r="37" spans="2:15" ht="21.75" customHeight="1" x14ac:dyDescent="0.25"/>
    <row r="39" spans="2:15" x14ac:dyDescent="0.25">
      <c r="B39" s="70" t="s">
        <v>14</v>
      </c>
      <c r="C39" s="70"/>
      <c r="D39" s="70"/>
      <c r="E39" s="70"/>
      <c r="F39" s="70"/>
      <c r="G39" s="70"/>
      <c r="H39" s="70"/>
      <c r="I39" s="70"/>
      <c r="J39" s="70"/>
      <c r="K39" s="70"/>
      <c r="L39" s="70"/>
      <c r="M39" s="70"/>
      <c r="N39" s="70"/>
      <c r="O39" s="70"/>
    </row>
  </sheetData>
  <sheetProtection algorithmName="SHA-512" hashValue="z6X7xCSeIE9bB0bZtmhqgsfykPx0VqcNnqV1CQvvCguv3EhtLGVyJSsfFJVSLv+mXEGTvDXi+bOFbG1rEXHYOg==" saltValue="Xr60hg1seC3j87BWw+GsqA==" spinCount="100000" sheet="1" objects="1" scenarios="1" selectLockedCells="1"/>
  <mergeCells count="10">
    <mergeCell ref="B26:F26"/>
    <mergeCell ref="B27:G27"/>
    <mergeCell ref="C36:O36"/>
    <mergeCell ref="B39:O39"/>
    <mergeCell ref="H2:O2"/>
    <mergeCell ref="C4:O4"/>
    <mergeCell ref="G6:H6"/>
    <mergeCell ref="D13:E13"/>
    <mergeCell ref="B17:E17"/>
    <mergeCell ref="B18:E18"/>
  </mergeCells>
  <hyperlinks>
    <hyperlink ref="B17" r:id="rId1" display="Will you enroll in DU's health insurance plan?" xr:uid="{00000000-0004-0000-0400-000000000000}"/>
    <hyperlink ref="B18" r:id="rId2" display="Will you use DU Health &amp; Counseling Services? " xr:uid="{00000000-0004-0000-04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Data!$A$2:$A$21</xm:f>
          </x14:formula1>
          <xm:sqref>L9 J9 N9</xm:sqref>
        </x14:dataValidation>
        <x14:dataValidation type="list" allowBlank="1" showInputMessage="1" showErrorMessage="1" xr:uid="{00000000-0002-0000-0400-000001000000}">
          <x14:formula1>
            <xm:f>Data!$A$24:$A$25</xm:f>
          </x14:formula1>
          <xm:sqref>F17:F18</xm:sqref>
        </x14:dataValidation>
        <x14:dataValidation type="list" allowBlank="1" showInputMessage="1" showErrorMessage="1" xr:uid="{00000000-0002-0000-0400-000002000000}">
          <x14:formula1>
            <xm:f>Data!$A$27:$A$28</xm:f>
          </x14:formula1>
          <xm:sqref>G6:H6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4"/>
  <sheetViews>
    <sheetView showGridLines="0" showRowColHeaders="0" showRuler="0" zoomScaleNormal="100" workbookViewId="0">
      <selection activeCell="I8" sqref="I8"/>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71" t="s">
        <v>90</v>
      </c>
      <c r="H2" s="71"/>
      <c r="I2" s="71"/>
      <c r="J2" s="71"/>
      <c r="K2" s="71"/>
      <c r="L2" s="71"/>
      <c r="M2" s="71"/>
      <c r="N2" s="71"/>
      <c r="O2" s="71"/>
    </row>
    <row r="3" spans="2:15" ht="8.25" customHeight="1" x14ac:dyDescent="0.25">
      <c r="B3" s="19"/>
      <c r="C3" s="19"/>
      <c r="D3" s="19"/>
      <c r="E3" s="19"/>
      <c r="F3" s="19"/>
      <c r="G3" s="20"/>
      <c r="H3" s="21"/>
      <c r="I3" s="21"/>
      <c r="J3" s="21"/>
      <c r="K3" s="21"/>
      <c r="L3" s="21"/>
      <c r="M3" s="21"/>
      <c r="N3" s="21"/>
      <c r="O3" s="21"/>
    </row>
    <row r="4" spans="2:15" ht="9.75" customHeight="1" x14ac:dyDescent="0.25"/>
    <row r="5" spans="2:15" ht="18" customHeight="1" x14ac:dyDescent="0.25">
      <c r="B5" s="73" t="s">
        <v>56</v>
      </c>
      <c r="C5" s="73"/>
      <c r="D5" s="73"/>
      <c r="E5" s="73"/>
      <c r="F5" s="73"/>
      <c r="G5" s="73"/>
      <c r="H5" s="73"/>
      <c r="I5" s="73"/>
      <c r="J5" s="73"/>
      <c r="K5" s="73"/>
      <c r="L5" s="73"/>
      <c r="M5" s="73"/>
      <c r="N5" s="73"/>
    </row>
    <row r="6" spans="2:15" ht="9.75" customHeight="1" x14ac:dyDescent="0.25"/>
    <row r="7" spans="2:15" ht="15" customHeight="1" x14ac:dyDescent="0.25">
      <c r="I7" s="65" t="s">
        <v>84</v>
      </c>
      <c r="J7" s="36"/>
      <c r="K7" s="65" t="s">
        <v>85</v>
      </c>
      <c r="L7" s="37"/>
      <c r="M7" s="65" t="s">
        <v>86</v>
      </c>
      <c r="N7" s="37"/>
      <c r="O7" s="65" t="s">
        <v>91</v>
      </c>
    </row>
    <row r="8" spans="2:15" ht="18" customHeight="1" x14ac:dyDescent="0.3">
      <c r="C8" s="6" t="s">
        <v>43</v>
      </c>
      <c r="E8" s="28"/>
      <c r="F8" s="28"/>
      <c r="G8" s="28"/>
      <c r="H8" s="28"/>
      <c r="I8" s="62"/>
      <c r="K8" s="63"/>
      <c r="L8"/>
      <c r="M8" s="64"/>
      <c r="N8"/>
      <c r="O8" s="64"/>
    </row>
    <row r="9" spans="2:15" ht="18.75" customHeight="1" x14ac:dyDescent="0.25"/>
    <row r="10" spans="2:15" ht="15.75" thickBot="1" x14ac:dyDescent="0.3">
      <c r="B10" s="1" t="s">
        <v>7</v>
      </c>
      <c r="C10" s="2"/>
      <c r="D10" s="2"/>
      <c r="E10" s="2"/>
      <c r="F10" s="2"/>
      <c r="G10" s="4" t="s">
        <v>3</v>
      </c>
      <c r="H10" s="3"/>
      <c r="I10" s="4" t="s">
        <v>87</v>
      </c>
      <c r="J10" s="3"/>
      <c r="K10" s="4" t="s">
        <v>88</v>
      </c>
      <c r="L10" s="4"/>
      <c r="M10" s="4" t="s">
        <v>89</v>
      </c>
      <c r="N10" s="4"/>
      <c r="O10" s="4" t="s">
        <v>92</v>
      </c>
    </row>
    <row r="11" spans="2:15" ht="9" customHeight="1" x14ac:dyDescent="0.25"/>
    <row r="12" spans="2:15" ht="21.75" customHeight="1" x14ac:dyDescent="0.25">
      <c r="B12" s="9" t="s">
        <v>1</v>
      </c>
      <c r="C12" s="78"/>
      <c r="D12" s="78"/>
      <c r="E12" s="10"/>
      <c r="F12" s="10"/>
      <c r="G12" s="11" t="e">
        <f>I12+K12+M12+O12</f>
        <v>#N/A</v>
      </c>
      <c r="H12" s="10"/>
      <c r="I12" s="11" t="e">
        <f>VLOOKUP(I8,Data!N24:O43,2,FALSE)</f>
        <v>#N/A</v>
      </c>
      <c r="J12" s="10"/>
      <c r="K12" s="11" t="e">
        <f>VLOOKUP(K8,Data!N24:O43,2,FALSE)</f>
        <v>#N/A</v>
      </c>
      <c r="L12" s="11"/>
      <c r="M12" s="11" t="e">
        <f>VLOOKUP(M8,Data!N24:O43,2,FALSE)</f>
        <v>#N/A</v>
      </c>
      <c r="N12" s="11"/>
      <c r="O12" s="11" t="e">
        <f>VLOOKUP(O8,Data!N24:O43,2,FALSE)</f>
        <v>#N/A</v>
      </c>
    </row>
    <row r="13" spans="2:15" ht="21.75" customHeight="1" x14ac:dyDescent="0.25">
      <c r="B13" s="38" t="s">
        <v>2</v>
      </c>
      <c r="C13" s="39"/>
      <c r="D13" s="39"/>
      <c r="E13" s="39"/>
      <c r="F13" s="39"/>
      <c r="G13" s="40" t="e">
        <f>I13+K13+M13+O13</f>
        <v>#N/A</v>
      </c>
      <c r="H13" s="39"/>
      <c r="I13" s="40" t="e">
        <f>VLOOKUP(I8,Data!N24:P43,3,FALSE)</f>
        <v>#N/A</v>
      </c>
      <c r="J13" s="39"/>
      <c r="K13" s="40" t="e">
        <f>VLOOKUP(K8,Data!N24:P43,3,FALSE)</f>
        <v>#N/A</v>
      </c>
      <c r="L13" s="40"/>
      <c r="M13" s="40" t="e">
        <f>VLOOKUP(M8,Data!N24:P43,3,FALSE)</f>
        <v>#N/A</v>
      </c>
      <c r="N13" s="40"/>
      <c r="O13" s="40" t="e">
        <f>VLOOKUP(O8,Data!N24:P43,3,FALSE)</f>
        <v>#N/A</v>
      </c>
    </row>
    <row r="14" spans="2:15" ht="21.75" customHeight="1" x14ac:dyDescent="0.25">
      <c r="B14" s="19"/>
      <c r="C14" s="42" t="s">
        <v>6</v>
      </c>
      <c r="D14" s="19"/>
      <c r="E14" s="19"/>
      <c r="F14" s="19"/>
      <c r="G14" s="43" t="e">
        <f>SUM(G12:G13)</f>
        <v>#N/A</v>
      </c>
      <c r="H14" s="19"/>
      <c r="I14" s="43" t="e">
        <f>SUM(I12:I13)</f>
        <v>#N/A</v>
      </c>
      <c r="J14" s="19"/>
      <c r="K14" s="43" t="e">
        <f>SUM(K12:K13)</f>
        <v>#N/A</v>
      </c>
      <c r="L14" s="43"/>
      <c r="M14" s="43" t="e">
        <f>SUM(M12:M13)</f>
        <v>#N/A</v>
      </c>
      <c r="N14" s="43"/>
      <c r="O14" s="43" t="e">
        <f>SUM(O12:O13)</f>
        <v>#N/A</v>
      </c>
    </row>
    <row r="15" spans="2:15" ht="24" customHeight="1" x14ac:dyDescent="0.25"/>
    <row r="16" spans="2:15" ht="15.75" thickBot="1" x14ac:dyDescent="0.3">
      <c r="B16" s="1" t="s">
        <v>11</v>
      </c>
      <c r="C16" s="2"/>
      <c r="D16" s="2"/>
      <c r="E16" s="2"/>
      <c r="F16" s="2"/>
      <c r="G16" s="4" t="s">
        <v>3</v>
      </c>
      <c r="H16" s="3"/>
      <c r="I16" s="4" t="s">
        <v>87</v>
      </c>
      <c r="J16" s="3"/>
      <c r="K16" s="4" t="s">
        <v>88</v>
      </c>
      <c r="L16" s="4"/>
      <c r="M16" s="4" t="s">
        <v>89</v>
      </c>
      <c r="N16" s="4"/>
      <c r="O16" s="4" t="s">
        <v>92</v>
      </c>
    </row>
    <row r="17" spans="2:15" ht="21.75" customHeight="1" x14ac:dyDescent="0.25">
      <c r="B17" t="s">
        <v>16</v>
      </c>
      <c r="G17" s="15"/>
      <c r="I17" s="5">
        <f>IF((AND(I8&lt;&gt;"not enrolled",K8&lt;&gt;"not enrolled",M8&lt;&gt;"not enrolled",O8&lt;&gt;"not enrolled")),(G17/4), IF((AND(I8&lt;&gt;"not enrolled",K8&lt;&gt;"not enrolled",M8&lt;&gt;"not enrolled",O8="not enrolled")),(G17/3), IF((AND(I8&lt;&gt;"not enrolled",K8&lt;&gt;"not enrolled",M8="not enrolled",O8="not enrolled")),(G17/2), IF((AND(I8&lt;&gt;"not enrolled",K8="not enrolled",M8="not enrolled",O8="not enrolled")),(G17/1), 0))))</f>
        <v>0</v>
      </c>
      <c r="K17" s="5">
        <f>IF((AND(I8&lt;&gt;"not enrolled",K8&lt;&gt;"not enrolled",M8&lt;&gt;"not enrolled",O8&lt;&gt;"not enrolled")),(G17/4), IF((AND(I8&lt;&gt;"not enrolled",K8&lt;&gt;"not enrolled",M8&lt;&gt;"not enrolled",O8="not enrolled")),(G17/3), IF((AND(I8="not enrolled",K8&lt;&gt;"not enrolled",M8&lt;&gt;"not enrolled",O8&lt;&gt;"not enrolled")),(G17/3), IF((AND(I8&lt;&gt;"not enrolled",K8&lt;&gt;"not enrolled",M8="not enrolled",O8="not enrolled")),(G17/2), 0))))</f>
        <v>0</v>
      </c>
      <c r="M17" s="5">
        <f>IF((AND(I8&lt;&gt;"not enrolled",K8&lt;&gt;"not enrolled",M8&lt;&gt;"not enrolled",O8&lt;&gt;"not enrolled")),(G17/4), IF((AND(I8&lt;&gt;"not enrolled",K8&lt;&gt;"not enrolled",M8&lt;&gt;"not enrolled",O8="not enrolled")),(G17/3), IF((AND(I8="not enrolled",K8&lt;&gt;"not enrolled",M8&lt;&gt;"not enrolled",O8&lt;&gt;"not enrolled")),(G17/3), IF((AND(I8="not enrolled",K8="not enrolled",M8&lt;&gt;"not enrolled",O8&lt;&gt;"not enrolled")),(G17/2), 0))))</f>
        <v>0</v>
      </c>
      <c r="O17" s="5">
        <f>IF((AND(I8&lt;&gt;"not enrolled",K8&lt;&gt;"not enrolled",M8&lt;&gt;"not enrolled",O8&lt;&gt;"not enrolled")),(G17/4), IF((AND(I8="not enrolled",K8&lt;&gt;"not enrolled",M8&lt;&gt;"not enrolled",O8&lt;&gt;"not enrolled")),(G17/3), IF((AND(I8="not enrolled",K8="not enrolled",M8&lt;&gt;"not enrolled",O8&lt;&gt;"not enrolled")),(G17/2),  IF((AND(I8="not enrolled",K8="not enrolled",M8="not enrolled",O8&lt;&gt;"not enrolled")),(G17), 0))))</f>
        <v>0</v>
      </c>
    </row>
    <row r="18" spans="2:15" ht="21.75" customHeight="1" x14ac:dyDescent="0.25">
      <c r="B18" s="10" t="s">
        <v>8</v>
      </c>
      <c r="C18" s="10"/>
      <c r="D18" s="10"/>
      <c r="E18" s="10"/>
      <c r="F18" s="10"/>
      <c r="G18" s="16"/>
      <c r="H18" s="10"/>
      <c r="I18" s="11">
        <f>IF((AND(I8&lt;&gt;"not enrolled",K8&lt;&gt;"not enrolled",M8&lt;&gt;"not enrolled",O8&lt;&gt;"not enrolled")),(G18/4), IF((AND(I8&lt;&gt;"not enrolled",K8&lt;&gt;"not enrolled",M8&lt;&gt;"not enrolled",O8="not enrolled")),(G18/3), IF((AND(I8&lt;&gt;"not enrolled",K8&lt;&gt;"not enrolled",M8="not enrolled",O8="not enrolled")),(G18/2), IF((AND(I8&lt;&gt;"not enrolled",K8="not enrolled",M8="not enrolled",O8="not enrolled")),(G18/1), 0))))</f>
        <v>0</v>
      </c>
      <c r="J18" s="10"/>
      <c r="K18" s="11">
        <f>IF((AND(I8&lt;&gt;"not enrolled",K8&lt;&gt;"not enrolled",M8&lt;&gt;"not enrolled",O8&lt;&gt;"not enrolled")),(G18/4), IF((AND(I8&lt;&gt;"not enrolled",K8&lt;&gt;"not enrolled",M8&lt;&gt;"not enrolled",O8="not enrolled")),(G18/3), IF((AND(I8="not enrolled",K8&lt;&gt;"not enrolled",M8&lt;&gt;"not enrolled",O8&lt;&gt;"not enrolled")),(G18/3), IF((AND(I8&lt;&gt;"not enrolled",K8&lt;&gt;"not enrolled",M8="not enrolled",O8="not enrolled")),(G18/2), 0))))</f>
        <v>0</v>
      </c>
      <c r="L18" s="11"/>
      <c r="M18" s="11">
        <f>IF((AND(I8&lt;&gt;"not enrolled",K8&lt;&gt;"not enrolled",M8&lt;&gt;"not enrolled",O8&lt;&gt;"not enrolled")),(G18/4), IF((AND(I8&lt;&gt;"not enrolled",K8&lt;&gt;"not enrolled",M8&lt;&gt;"not enrolled",O8="not enrolled")),(G18/3), IF((AND(I8="not enrolled",K8&lt;&gt;"not enrolled",M8&lt;&gt;"not enrolled",O8&lt;&gt;"not enrolled")),(G18/3), IF((AND(I8="not enrolled",K8="not enrolled",M8&lt;&gt;"not enrolled",O8&lt;&gt;"not enrolled")),(G18/2), 0))))</f>
        <v>0</v>
      </c>
      <c r="N18" s="11"/>
      <c r="O18" s="11">
        <f>IF((AND(I8&lt;&gt;"not enrolled",K8&lt;&gt;"not enrolled",M8&lt;&gt;"not enrolled",O8&lt;&gt;"not enrolled")),(G18/4), IF((AND(I8="not enrolled",K8&lt;&gt;"not enrolled",M8&lt;&gt;"not enrolled",O8&lt;&gt;"not enrolled")),(G18/3), IF((AND(I8="not enrolled",K8="not enrolled",M8&lt;&gt;"not enrolled",O8&lt;&gt;"not enrolled")),(G18/2),  IF((AND(I8="not enrolled",K8="not enrolled",M8="not enrolled",O8&lt;&gt;"not enrolled")),(G18), 0))))</f>
        <v>0</v>
      </c>
    </row>
    <row r="19" spans="2:15" ht="21.75" customHeight="1" x14ac:dyDescent="0.25">
      <c r="B19" t="s">
        <v>19</v>
      </c>
      <c r="E19" s="17"/>
      <c r="G19" s="5">
        <f>SUM(I19,K19,M19,O19)</f>
        <v>0</v>
      </c>
      <c r="I19" s="5">
        <f>IF((AND(I8&lt;&gt;"not enrolled",K8&lt;&gt;"not enrolled",M8&lt;&gt;"not enrolled",O8&lt;&gt;"not enrolled")),ROUND(((E19-(E19*0.01057))/4),0), IF((AND(I8&lt;&gt;"not enrolled",K8&lt;&gt;"not enrolled",M8&lt;&gt;"not enrolled",O8="not enrolled")),ROUND(((E19-(E19*0.01057))/3),0), IF((AND(I8&lt;&gt;"not enrolled",K8&lt;&gt;"not enrolled",M8="not enrolled",O8="not enrolled")),ROUND(((E19-(E19*0.01057))/2),0), IF((AND(I8&lt;&gt;"not enrolled",K8="not enrolled",M8="not enrolled",O8="not enrolled")),ROUND(((E19-(E19*0.01057))/1),0), 0))))</f>
        <v>0</v>
      </c>
      <c r="K19" s="5">
        <f>IF((AND(I8&lt;&gt;"not enrolled",K8&lt;&gt;"not enrolled",M8&lt;&gt;"not enrolled",O8&lt;&gt;"not enrolled")),ROUND(((E19-(E19*0.01057))/4),0), IF((AND(I8&lt;&gt;"not enrolled",K8&lt;&gt;"not enrolled",M8&lt;&gt;"not enrolled",O8="not enrolled")),ROUND(((E19-(E19*0.01057))/3),0), IF((AND(I8="not enrolled",K8&lt;&gt;"not enrolled",M8&lt;&gt;"not enrolled",O8&lt;&gt;"not enrolled")),ROUND(((E19-(E19*0.01057))/3),0), IF((AND(I8&lt;&gt;"not enrolled",K8&lt;&gt;"not enrolled",M8="not enrolled",O8="not enrolled")),ROUND(((E19-(E19*0.01057))/2),0), 0))))</f>
        <v>0</v>
      </c>
      <c r="M19" s="5">
        <f>IF((AND(I8&lt;&gt;"not enrolled",K8&lt;&gt;"not enrolled",M8&lt;&gt;"not enrolled",O8&lt;&gt;"not enrolled")),ROUND(((E19-(E19*0.01057))/4),0), IF((AND(I8&lt;&gt;"not enrolled",K8&lt;&gt;"not enrolled",M8&lt;&gt;"not enrolled",O8="not enrolled")),ROUND(((E19-(E19*0.01057))/3),0), IF((AND(I8="not enrolled",K8&lt;&gt;"not enrolled",M8&lt;&gt;"not enrolled",O8&lt;&gt;"not enrolled")),ROUND(((E19-(E19*0.01057))/3),0), IF((AND(I8="not enrolled",K8="not enrolled",M8&lt;&gt;"not enrolled",O8&lt;&gt;"not enrolled")),ROUND(((E19-(E19*0.01057))/2),0), 0))))</f>
        <v>0</v>
      </c>
      <c r="O19" s="5">
        <f>IF((AND(I8&lt;&gt;"not enrolled",K8&lt;&gt;"not enrolled",M8&lt;&gt;"not enrolled",O8&lt;&gt;"not enrolled")),ROUND(((E19-(E19*0.01057))/4),0), IF((AND(I8="not enrolled",K8&lt;&gt;"not enrolled",M8&lt;&gt;"not enrolled",O8&lt;&gt;"not enrolled")),ROUND(((E19-(E19*0.01057))/3),0), IF((AND(I8="not enrolled",K8="not enrolled",M8&lt;&gt;"not enrolled",O8&lt;&gt;"not enrolled")),ROUND(((E19-(E19*0.01057))/2),0),  IF((AND(I8="not enrolled",K8="not enrolled",M8="not enrolled",O8&lt;&gt;"not enrolled")),ROUND(((E19-(E19*0.01057))/1),0), 0))))</f>
        <v>0</v>
      </c>
    </row>
    <row r="20" spans="2:15" ht="21.75" customHeight="1" x14ac:dyDescent="0.25">
      <c r="B20" s="10" t="s">
        <v>20</v>
      </c>
      <c r="C20" s="10"/>
      <c r="D20" s="10"/>
      <c r="E20" s="17"/>
      <c r="F20" s="10"/>
      <c r="G20" s="11">
        <f>SUM(I20,K20,M20,O20)</f>
        <v>0</v>
      </c>
      <c r="H20" s="10"/>
      <c r="I20" s="11">
        <f>IF((AND(I8&lt;&gt;"not enrolled",K8&lt;&gt;"not enrolled",M8&lt;&gt;"not enrolled",O8&lt;&gt;"not enrolled")),ROUND(((E20-(E20*0.04228))/4),0), IF((AND(I8&lt;&gt;"not enrolled",K8&lt;&gt;"not enrolled",M8&lt;&gt;"not enrolled",O8="not enrolled")),ROUND(((E20-(E20*0.04228))/3),0), IF((AND(I8&lt;&gt;"not enrolled",K8&lt;&gt;"not enrolled",M8="not enrolled",O8="not enrolled")),ROUND(((E20-(E20*0.04228))/2),0), IF((AND(I8&lt;&gt;"not enrolled",K8="not enrolled",M8="not enrolled",O8="not enrolled")),ROUND(((E20-(E20*0.04228))/1),0), 0))))</f>
        <v>0</v>
      </c>
      <c r="J20" s="10"/>
      <c r="K20" s="11">
        <f>IF((AND(I8&lt;&gt;"not enrolled",K8&lt;&gt;"not enrolled",M8&lt;&gt;"not enrolled",O8&lt;&gt;"not enrolled")),ROUND(((E20-(E20*0.04228))/4),0), IF((AND(I8&lt;&gt;"not enrolled",K8&lt;&gt;"not enrolled",M8&lt;&gt;"not enrolled",O8="not enrolled")),ROUND(((E20-(E20*0.04228))/3),0), IF((AND(I8="not enrolled",K8&lt;&gt;"not enrolled",M8&lt;&gt;"not enrolled",O8&lt;&gt;"not enrolled")),ROUND(((E20-(E20*0.04228))/3),0), IF((AND(I8&lt;&gt;"not enrolled",K8&lt;&gt;"not enrolled",M8="not enrolled",O8="not enrolled")),ROUND(((E20-(E20*0.04228))/2),0), 0))))</f>
        <v>0</v>
      </c>
      <c r="L20" s="11"/>
      <c r="M20" s="11">
        <f>IF((AND(I8&lt;&gt;"not enrolled",K8&lt;&gt;"not enrolled",M8&lt;&gt;"not enrolled",O8&lt;&gt;"not enrolled")),ROUND(((E20-(E20*0.04228))/4),0), IF((AND(I8&lt;&gt;"not enrolled",K8&lt;&gt;"not enrolled",M8&lt;&gt;"not enrolled",O8="not enrolled")),ROUND(((E20-(E20*0.0428))/3),0), IF((AND(I8="not enrolled",K8&lt;&gt;"not enrolled",M8&lt;&gt;"not enrolled",O8&lt;&gt;"not enrolled")),ROUND(((E20-(E20*0.04228))/3),0), IF((AND(I8="not enrolled",K8="not enrolled",M8&lt;&gt;"not enrolled",O8&lt;&gt;"not enrolled")),ROUND(((E20-(E20*0.04228))/2),0), 0))))</f>
        <v>0</v>
      </c>
      <c r="N20" s="11"/>
      <c r="O20" s="11">
        <f>IF((AND(I8&lt;&gt;"not enrolled",K8&lt;&gt;"not enrolled",M8&lt;&gt;"not enrolled",O8&lt;&gt;"not enrolled")),ROUND(((E20-(E20*0.04228))/4),0), IF((AND(I8="not enrolled",K8&lt;&gt;"not enrolled",M8&lt;&gt;"not enrolled",O8&lt;&gt;"not enrolled")),ROUND(((E20-(E20*0.04228))/3),0), IF((AND(I8="not enrolled",K8="not enrolled",M8&lt;&gt;"not enrolled",O8&lt;&gt;"not enrolled")),ROUND(((E20-(E20*0.04228))/2),0),  IF((AND(I8="not enrolled",K8="not enrolled",M8="not enrolled",O8&lt;&gt;"not enrolled")),ROUND(((E20-(E20*0.04228))/1),0), 0))))</f>
        <v>0</v>
      </c>
    </row>
    <row r="21" spans="2:15" ht="21.75" customHeight="1" x14ac:dyDescent="0.25">
      <c r="B21" t="s">
        <v>9</v>
      </c>
      <c r="G21" s="16"/>
      <c r="I21" s="5">
        <f>IF((AND(I8&lt;&gt;"not enrolled",K8&lt;&gt;"not enrolled",M8&lt;&gt;"not enrolled",O8&lt;&gt;"not enrolled")),(G21/4), IF((AND(I8&lt;&gt;"not enrolled",K8&lt;&gt;"not enrolled",M8&lt;&gt;"not enrolled",O8="not enrolled")),(G21/3), IF((AND(I8&lt;&gt;"not enrolled",K8&lt;&gt;"not enrolled",M8="not enrolled",O8="not enrolled")),(G21/2), IF((AND(I8&lt;&gt;"not enrolled",K8="not enrolled",M8="not enrolled",O8="not enrolled")),(G21/1), 0))))</f>
        <v>0</v>
      </c>
      <c r="K21" s="5">
        <f>IF((AND(I8&lt;&gt;"not enrolled",K8&lt;&gt;"not enrolled",M8&lt;&gt;"not enrolled",O8&lt;&gt;"not enrolled")),(G21/4), IF((AND(I8&lt;&gt;"not enrolled",K8&lt;&gt;"not enrolled",M8&lt;&gt;"not enrolled",O8="not enrolled")),(G21/3), IF((AND(I8="not enrolled",K8&lt;&gt;"not enrolled",M8&lt;&gt;"not enrolled",O8&lt;&gt;"not enrolled")),(G21/3), IF((AND(I8&lt;&gt;"not enrolled",K8&lt;&gt;"not enrolled",M8="not enrolled",O8="not enrolled")),(G21/2), 0))))</f>
        <v>0</v>
      </c>
      <c r="M21" s="5">
        <f>IF((AND(I8&lt;&gt;"not enrolled",K8&lt;&gt;"not enrolled",M8&lt;&gt;"not enrolled",O8&lt;&gt;"not enrolled")),(G21/4), IF((AND(I8&lt;&gt;"not enrolled",K8&lt;&gt;"not enrolled",M8&lt;&gt;"not enrolled",O8="not enrolled")),(G21/3), IF((AND(I8="not enrolled",K8&lt;&gt;"not enrolled",M8&lt;&gt;"not enrolled",O8&lt;&gt;"not enrolled")),(G21/3), IF((AND(I8="not enrolled",K8="not enrolled",M8&lt;&gt;"not enrolled",O8&lt;&gt;"not enrolled")),(G21/2), 0))))</f>
        <v>0</v>
      </c>
      <c r="O21" s="5">
        <f>IF((AND(I8&lt;&gt;"not enrolled",K8&lt;&gt;"not enrolled",M8&lt;&gt;"not enrolled",O8&lt;&gt;"not enrolled")),(G21/4), IF((AND(I8="not enrolled",K8&lt;&gt;"not enrolled",M8&lt;&gt;"not enrolled",O8&lt;&gt;"not enrolled")),(G21/3), IF((AND(I8="not enrolled",K8="not enrolled",M8&lt;&gt;"not enrolled",O8&lt;&gt;"not enrolled")),(G21/2),  IF((AND(I8="not enrolled",K8="not enrolled",M8="not enrolled",O8&lt;&gt;"not enrolled")),(G21), 0))))</f>
        <v>0</v>
      </c>
    </row>
    <row r="22" spans="2:15" ht="21.75" customHeight="1" x14ac:dyDescent="0.25">
      <c r="B22" s="84" t="s">
        <v>24</v>
      </c>
      <c r="C22" s="84"/>
      <c r="D22" s="84"/>
      <c r="E22" s="84"/>
      <c r="F22" s="84"/>
      <c r="G22" s="27">
        <f>I22+K22+M22+O22</f>
        <v>0</v>
      </c>
      <c r="H22" s="26"/>
      <c r="I22" s="18"/>
      <c r="J22" s="26"/>
      <c r="K22" s="18"/>
      <c r="L22" s="69"/>
      <c r="M22" s="18"/>
      <c r="N22" s="69"/>
      <c r="O22" s="18"/>
    </row>
    <row r="23" spans="2:15" ht="21.75" customHeight="1" x14ac:dyDescent="0.25">
      <c r="C23" s="7" t="s">
        <v>10</v>
      </c>
      <c r="G23" s="5">
        <f>SUM(G17:G22)</f>
        <v>0</v>
      </c>
      <c r="I23" s="5">
        <f>SUM(I17:I22)</f>
        <v>0</v>
      </c>
      <c r="K23" s="5">
        <f>SUM(K17:K22)</f>
        <v>0</v>
      </c>
      <c r="M23" s="5">
        <f>SUM(M17:M22)</f>
        <v>0</v>
      </c>
      <c r="O23" s="5">
        <f>SUM(O17:O22)</f>
        <v>0</v>
      </c>
    </row>
    <row r="24" spans="2:15" ht="15.75" thickBot="1" x14ac:dyDescent="0.3"/>
    <row r="25" spans="2:15" ht="21.75" customHeight="1" thickTop="1" thickBot="1" x14ac:dyDescent="0.35">
      <c r="B25" s="14" t="s">
        <v>12</v>
      </c>
      <c r="C25" s="13"/>
      <c r="D25" s="13"/>
      <c r="E25" s="13"/>
      <c r="F25" s="13"/>
      <c r="G25" s="23" t="e">
        <f>G14-G23</f>
        <v>#N/A</v>
      </c>
      <c r="H25" s="24"/>
      <c r="I25" s="23" t="e">
        <f>I14-I23</f>
        <v>#N/A</v>
      </c>
      <c r="J25" s="24"/>
      <c r="K25" s="23" t="e">
        <f>K14-K23</f>
        <v>#N/A</v>
      </c>
      <c r="L25" s="23"/>
      <c r="M25" s="23" t="e">
        <f>M14-M23</f>
        <v>#N/A</v>
      </c>
      <c r="N25" s="23"/>
      <c r="O25" s="23" t="e">
        <f>O14-O23</f>
        <v>#N/A</v>
      </c>
    </row>
    <row r="26" spans="2:15" ht="15.75" thickTop="1" x14ac:dyDescent="0.25"/>
    <row r="27" spans="2:15" x14ac:dyDescent="0.25">
      <c r="B27" s="7" t="s">
        <v>13</v>
      </c>
    </row>
    <row r="28" spans="2:15" ht="21" customHeight="1" x14ac:dyDescent="0.25">
      <c r="B28" s="87" t="s">
        <v>93</v>
      </c>
      <c r="C28" s="85"/>
      <c r="D28" s="85"/>
      <c r="E28" s="85"/>
      <c r="F28" s="85"/>
      <c r="G28" s="85"/>
      <c r="H28" s="85"/>
      <c r="I28" s="85"/>
      <c r="J28" s="85"/>
      <c r="K28" s="85"/>
      <c r="L28" s="85"/>
      <c r="M28" s="85"/>
      <c r="N28" s="85"/>
      <c r="O28" s="85"/>
    </row>
    <row r="29" spans="2:15" ht="21.75" customHeight="1" x14ac:dyDescent="0.25">
      <c r="B29" s="83" t="s">
        <v>18</v>
      </c>
      <c r="C29" s="83"/>
      <c r="D29" s="83"/>
      <c r="E29" s="83"/>
      <c r="F29" s="83"/>
      <c r="G29" s="83"/>
      <c r="H29" s="83"/>
      <c r="I29" s="83"/>
      <c r="J29" s="83"/>
      <c r="K29" s="83"/>
      <c r="L29" s="83"/>
      <c r="M29" s="83"/>
      <c r="N29" s="83"/>
      <c r="O29" s="83"/>
    </row>
    <row r="30" spans="2:15" ht="21.75" customHeight="1" x14ac:dyDescent="0.25">
      <c r="B30" t="s">
        <v>73</v>
      </c>
    </row>
    <row r="31" spans="2:15" ht="51" customHeight="1" x14ac:dyDescent="0.25">
      <c r="B31" s="85" t="s">
        <v>74</v>
      </c>
      <c r="C31" s="85"/>
      <c r="D31" s="85"/>
      <c r="E31" s="85"/>
      <c r="F31" s="85"/>
      <c r="G31" s="85"/>
      <c r="H31" s="85"/>
      <c r="I31" s="85"/>
      <c r="J31" s="85"/>
      <c r="K31" s="85"/>
      <c r="L31" s="85"/>
      <c r="M31" s="85"/>
      <c r="N31" s="85"/>
      <c r="O31" s="85"/>
    </row>
    <row r="32" spans="2:15" ht="21.75" customHeight="1" x14ac:dyDescent="0.25"/>
    <row r="34" spans="2:15" x14ac:dyDescent="0.25">
      <c r="B34" s="70" t="s">
        <v>14</v>
      </c>
      <c r="C34" s="70"/>
      <c r="D34" s="70"/>
      <c r="E34" s="70"/>
      <c r="F34" s="70"/>
      <c r="G34" s="70"/>
      <c r="H34" s="70"/>
      <c r="I34" s="70"/>
      <c r="J34" s="70"/>
      <c r="K34" s="70"/>
      <c r="L34" s="70"/>
      <c r="M34" s="70"/>
      <c r="N34" s="70"/>
      <c r="O34" s="70"/>
    </row>
  </sheetData>
  <sheetProtection algorithmName="SHA-512" hashValue="iAfBKtuZsC5u8WYI+zPtutJ0DnU+8QIbxfmJGY/h/+A4ACQF68+E/2Vzu/Ho8OcrBsxVbGtwUceQlKm9KxtSGQ==" saltValue="7MNxZ15YNK17VejdWuzIbQ==" spinCount="100000" sheet="1" objects="1" scenarios="1" selectLockedCells="1"/>
  <mergeCells count="8">
    <mergeCell ref="B31:O31"/>
    <mergeCell ref="B34:O34"/>
    <mergeCell ref="G2:O2"/>
    <mergeCell ref="C12:D12"/>
    <mergeCell ref="B22:F22"/>
    <mergeCell ref="B28:O28"/>
    <mergeCell ref="B29:O29"/>
    <mergeCell ref="B5:N5"/>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Data!$N$24:$N$43</xm:f>
          </x14:formula1>
          <xm:sqref>O8 I8 K8 M8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61"/>
  <sheetViews>
    <sheetView showRowColHeaders="0" workbookViewId="0">
      <selection activeCell="A51" sqref="A51"/>
    </sheetView>
  </sheetViews>
  <sheetFormatPr defaultColWidth="8.85546875" defaultRowHeight="15" x14ac:dyDescent="0.25"/>
  <cols>
    <col min="1" max="1" width="11.140625" customWidth="1"/>
    <col min="4" max="4" width="10.85546875" customWidth="1"/>
    <col min="5" max="5" width="12.140625" bestFit="1" customWidth="1"/>
    <col min="6" max="10" width="11.85546875" customWidth="1"/>
    <col min="11" max="11" width="12" bestFit="1" customWidth="1"/>
    <col min="12" max="13" width="11.85546875" customWidth="1"/>
    <col min="14" max="14" width="13.28515625" customWidth="1"/>
    <col min="16" max="16" width="11.7109375" customWidth="1"/>
  </cols>
  <sheetData>
    <row r="1" spans="1:22" x14ac:dyDescent="0.25">
      <c r="A1" s="7" t="s">
        <v>21</v>
      </c>
      <c r="D1" s="7" t="s">
        <v>44</v>
      </c>
      <c r="F1" s="66">
        <v>1284</v>
      </c>
      <c r="J1" s="66">
        <v>1535</v>
      </c>
    </row>
    <row r="2" spans="1:22" x14ac:dyDescent="0.25">
      <c r="A2" s="35" t="s">
        <v>42</v>
      </c>
      <c r="B2">
        <v>0</v>
      </c>
      <c r="C2">
        <v>0</v>
      </c>
      <c r="D2">
        <v>0</v>
      </c>
      <c r="F2" s="35" t="s">
        <v>42</v>
      </c>
      <c r="G2" s="35">
        <v>0</v>
      </c>
      <c r="H2">
        <v>0</v>
      </c>
      <c r="J2" s="35" t="s">
        <v>42</v>
      </c>
      <c r="K2" s="56">
        <v>0</v>
      </c>
      <c r="L2">
        <v>0</v>
      </c>
      <c r="M2" s="56"/>
      <c r="N2" s="56"/>
      <c r="O2" s="56"/>
      <c r="P2" s="56"/>
      <c r="Q2" s="56"/>
      <c r="R2" s="56"/>
      <c r="S2" s="56"/>
      <c r="T2" s="56"/>
      <c r="U2" s="56"/>
      <c r="V2" s="56"/>
    </row>
    <row r="3" spans="1:22" x14ac:dyDescent="0.25">
      <c r="A3" t="s">
        <v>25</v>
      </c>
      <c r="B3">
        <v>6140</v>
      </c>
      <c r="C3">
        <v>16</v>
      </c>
      <c r="D3">
        <v>57</v>
      </c>
      <c r="F3" t="s">
        <v>25</v>
      </c>
      <c r="G3">
        <v>5136</v>
      </c>
      <c r="H3">
        <v>16</v>
      </c>
      <c r="J3" t="s">
        <v>25</v>
      </c>
      <c r="K3">
        <v>6140</v>
      </c>
      <c r="L3">
        <v>16</v>
      </c>
      <c r="M3" s="56"/>
      <c r="N3" s="56"/>
      <c r="O3" s="56"/>
      <c r="P3" s="56"/>
      <c r="Q3" s="56"/>
      <c r="R3" s="56"/>
      <c r="S3" s="56"/>
      <c r="T3" s="56"/>
      <c r="U3" s="56"/>
      <c r="V3" s="56"/>
    </row>
    <row r="4" spans="1:22" x14ac:dyDescent="0.25">
      <c r="A4" t="s">
        <v>26</v>
      </c>
      <c r="B4">
        <v>7675</v>
      </c>
      <c r="C4">
        <v>20</v>
      </c>
      <c r="D4">
        <v>57</v>
      </c>
      <c r="F4" t="s">
        <v>26</v>
      </c>
      <c r="G4">
        <v>6420</v>
      </c>
      <c r="H4">
        <v>20</v>
      </c>
      <c r="J4" t="s">
        <v>26</v>
      </c>
      <c r="K4">
        <v>7675</v>
      </c>
      <c r="L4">
        <v>20</v>
      </c>
    </row>
    <row r="5" spans="1:22" x14ac:dyDescent="0.25">
      <c r="A5" t="s">
        <v>27</v>
      </c>
      <c r="B5">
        <v>9210</v>
      </c>
      <c r="C5">
        <v>24</v>
      </c>
      <c r="D5">
        <v>57</v>
      </c>
      <c r="F5" t="s">
        <v>27</v>
      </c>
      <c r="G5">
        <v>7704</v>
      </c>
      <c r="H5">
        <v>24</v>
      </c>
      <c r="J5" t="s">
        <v>27</v>
      </c>
      <c r="K5">
        <v>9210</v>
      </c>
      <c r="L5">
        <v>24</v>
      </c>
    </row>
    <row r="6" spans="1:22" x14ac:dyDescent="0.25">
      <c r="A6" t="s">
        <v>28</v>
      </c>
      <c r="B6">
        <v>10745</v>
      </c>
      <c r="C6">
        <v>28</v>
      </c>
      <c r="D6">
        <v>57</v>
      </c>
      <c r="F6" t="s">
        <v>28</v>
      </c>
      <c r="G6">
        <v>8988</v>
      </c>
      <c r="H6">
        <v>28</v>
      </c>
      <c r="J6" t="s">
        <v>28</v>
      </c>
      <c r="K6">
        <v>10745</v>
      </c>
      <c r="L6">
        <v>28</v>
      </c>
    </row>
    <row r="7" spans="1:22" x14ac:dyDescent="0.25">
      <c r="A7" t="s">
        <v>29</v>
      </c>
      <c r="B7">
        <v>12280</v>
      </c>
      <c r="C7">
        <v>32</v>
      </c>
      <c r="D7">
        <v>57</v>
      </c>
      <c r="F7" t="s">
        <v>29</v>
      </c>
      <c r="G7">
        <v>10272</v>
      </c>
      <c r="H7">
        <v>32</v>
      </c>
      <c r="J7" t="s">
        <v>29</v>
      </c>
      <c r="K7">
        <v>12280</v>
      </c>
      <c r="L7">
        <v>32</v>
      </c>
    </row>
    <row r="8" spans="1:22" x14ac:dyDescent="0.25">
      <c r="A8" t="s">
        <v>30</v>
      </c>
      <c r="B8">
        <v>13815</v>
      </c>
      <c r="C8">
        <v>36</v>
      </c>
      <c r="D8">
        <v>57</v>
      </c>
      <c r="F8" t="s">
        <v>30</v>
      </c>
      <c r="G8">
        <v>11556</v>
      </c>
      <c r="H8">
        <v>36</v>
      </c>
      <c r="J8" t="s">
        <v>30</v>
      </c>
      <c r="K8">
        <v>13815</v>
      </c>
      <c r="L8">
        <v>36</v>
      </c>
    </row>
    <row r="9" spans="1:22" x14ac:dyDescent="0.25">
      <c r="A9" t="s">
        <v>31</v>
      </c>
      <c r="B9">
        <v>15350</v>
      </c>
      <c r="C9">
        <v>40</v>
      </c>
      <c r="D9">
        <v>57</v>
      </c>
      <c r="F9" t="s">
        <v>31</v>
      </c>
      <c r="G9">
        <v>12840</v>
      </c>
      <c r="H9">
        <v>40</v>
      </c>
      <c r="J9" t="s">
        <v>31</v>
      </c>
      <c r="K9">
        <v>15350</v>
      </c>
      <c r="L9">
        <v>40</v>
      </c>
    </row>
    <row r="10" spans="1:22" x14ac:dyDescent="0.25">
      <c r="A10" t="s">
        <v>32</v>
      </c>
      <c r="B10">
        <v>16885</v>
      </c>
      <c r="C10">
        <v>44</v>
      </c>
      <c r="D10">
        <v>57</v>
      </c>
      <c r="F10" t="s">
        <v>32</v>
      </c>
      <c r="G10">
        <v>14124</v>
      </c>
      <c r="H10">
        <v>44</v>
      </c>
      <c r="J10" t="s">
        <v>32</v>
      </c>
      <c r="K10">
        <v>16885</v>
      </c>
      <c r="L10">
        <v>44</v>
      </c>
    </row>
    <row r="11" spans="1:22" x14ac:dyDescent="0.25">
      <c r="A11" t="s">
        <v>33</v>
      </c>
      <c r="B11">
        <v>18420</v>
      </c>
      <c r="C11">
        <v>48</v>
      </c>
      <c r="D11">
        <v>57</v>
      </c>
      <c r="F11" t="s">
        <v>33</v>
      </c>
      <c r="G11">
        <v>15408</v>
      </c>
      <c r="H11">
        <v>48</v>
      </c>
      <c r="J11" t="s">
        <v>33</v>
      </c>
      <c r="K11">
        <v>18420</v>
      </c>
      <c r="L11">
        <v>48</v>
      </c>
    </row>
    <row r="12" spans="1:22" x14ac:dyDescent="0.25">
      <c r="A12" t="s">
        <v>34</v>
      </c>
      <c r="B12">
        <v>18420</v>
      </c>
      <c r="C12">
        <v>48</v>
      </c>
      <c r="D12">
        <v>57</v>
      </c>
      <c r="F12" t="s">
        <v>34</v>
      </c>
      <c r="G12">
        <v>16692</v>
      </c>
      <c r="H12">
        <v>52</v>
      </c>
      <c r="J12" t="s">
        <v>34</v>
      </c>
      <c r="K12">
        <v>19955</v>
      </c>
      <c r="L12">
        <v>52</v>
      </c>
    </row>
    <row r="13" spans="1:22" x14ac:dyDescent="0.25">
      <c r="A13" t="s">
        <v>35</v>
      </c>
      <c r="B13">
        <v>18420</v>
      </c>
      <c r="C13">
        <v>48</v>
      </c>
      <c r="D13">
        <v>57</v>
      </c>
      <c r="F13" t="s">
        <v>35</v>
      </c>
      <c r="G13">
        <v>17976</v>
      </c>
      <c r="H13">
        <v>56</v>
      </c>
      <c r="J13" t="s">
        <v>35</v>
      </c>
      <c r="K13">
        <v>21490</v>
      </c>
      <c r="L13">
        <v>56</v>
      </c>
    </row>
    <row r="14" spans="1:22" x14ac:dyDescent="0.25">
      <c r="A14" t="s">
        <v>36</v>
      </c>
      <c r="B14">
        <v>18420</v>
      </c>
      <c r="C14">
        <v>48</v>
      </c>
      <c r="D14">
        <v>57</v>
      </c>
      <c r="F14" t="s">
        <v>36</v>
      </c>
      <c r="G14">
        <v>19260</v>
      </c>
      <c r="H14">
        <v>60</v>
      </c>
      <c r="J14" t="s">
        <v>36</v>
      </c>
      <c r="K14">
        <v>23025</v>
      </c>
      <c r="L14">
        <v>60</v>
      </c>
    </row>
    <row r="15" spans="1:22" x14ac:dyDescent="0.25">
      <c r="A15" t="s">
        <v>37</v>
      </c>
      <c r="B15">
        <v>18420</v>
      </c>
      <c r="C15">
        <v>48</v>
      </c>
      <c r="D15">
        <v>57</v>
      </c>
      <c r="F15" t="s">
        <v>37</v>
      </c>
      <c r="G15">
        <v>20544</v>
      </c>
      <c r="H15">
        <v>64</v>
      </c>
      <c r="J15" t="s">
        <v>37</v>
      </c>
      <c r="K15">
        <v>24560</v>
      </c>
      <c r="L15">
        <v>64</v>
      </c>
    </row>
    <row r="16" spans="1:22" x14ac:dyDescent="0.25">
      <c r="A16" t="s">
        <v>38</v>
      </c>
      <c r="B16">
        <v>18420</v>
      </c>
      <c r="C16">
        <v>48</v>
      </c>
      <c r="D16">
        <v>57</v>
      </c>
      <c r="F16" t="s">
        <v>38</v>
      </c>
      <c r="G16">
        <v>21828</v>
      </c>
      <c r="H16">
        <v>68</v>
      </c>
      <c r="J16" t="s">
        <v>38</v>
      </c>
      <c r="K16">
        <v>26095</v>
      </c>
      <c r="L16">
        <v>68</v>
      </c>
    </row>
    <row r="17" spans="1:18" x14ac:dyDescent="0.25">
      <c r="A17" t="s">
        <v>39</v>
      </c>
      <c r="B17">
        <v>18420</v>
      </c>
      <c r="C17">
        <v>48</v>
      </c>
      <c r="D17">
        <v>57</v>
      </c>
      <c r="F17" t="s">
        <v>39</v>
      </c>
      <c r="G17">
        <v>23112</v>
      </c>
      <c r="H17">
        <v>72</v>
      </c>
      <c r="J17" t="s">
        <v>39</v>
      </c>
      <c r="K17">
        <v>27630</v>
      </c>
      <c r="L17">
        <v>72</v>
      </c>
    </row>
    <row r="18" spans="1:18" x14ac:dyDescent="0.25">
      <c r="A18" t="s">
        <v>40</v>
      </c>
      <c r="B18">
        <v>19955</v>
      </c>
      <c r="C18">
        <v>52</v>
      </c>
      <c r="D18">
        <v>57</v>
      </c>
      <c r="F18" t="s">
        <v>40</v>
      </c>
      <c r="G18">
        <v>24396</v>
      </c>
      <c r="H18">
        <v>76</v>
      </c>
      <c r="J18" t="s">
        <v>40</v>
      </c>
      <c r="K18">
        <v>29165</v>
      </c>
      <c r="L18">
        <v>76</v>
      </c>
    </row>
    <row r="19" spans="1:18" x14ac:dyDescent="0.25">
      <c r="A19" t="s">
        <v>41</v>
      </c>
      <c r="B19">
        <v>21490</v>
      </c>
      <c r="C19">
        <v>56</v>
      </c>
      <c r="D19">
        <v>57</v>
      </c>
      <c r="F19" t="s">
        <v>41</v>
      </c>
      <c r="G19">
        <v>25680</v>
      </c>
      <c r="H19">
        <v>80</v>
      </c>
      <c r="J19" t="s">
        <v>41</v>
      </c>
      <c r="K19">
        <v>30700</v>
      </c>
      <c r="L19">
        <v>80</v>
      </c>
    </row>
    <row r="20" spans="1:18" x14ac:dyDescent="0.25">
      <c r="A20" t="s">
        <v>45</v>
      </c>
      <c r="B20">
        <v>23025</v>
      </c>
      <c r="C20">
        <v>60</v>
      </c>
      <c r="D20">
        <v>57</v>
      </c>
      <c r="F20" t="s">
        <v>45</v>
      </c>
      <c r="G20">
        <v>26964</v>
      </c>
      <c r="H20">
        <v>84</v>
      </c>
      <c r="J20" t="s">
        <v>45</v>
      </c>
      <c r="K20">
        <v>32235</v>
      </c>
      <c r="L20">
        <v>84</v>
      </c>
    </row>
    <row r="21" spans="1:18" x14ac:dyDescent="0.25">
      <c r="A21" t="s">
        <v>46</v>
      </c>
      <c r="B21">
        <v>24560</v>
      </c>
      <c r="C21">
        <v>64</v>
      </c>
      <c r="D21">
        <v>57</v>
      </c>
      <c r="F21" t="s">
        <v>46</v>
      </c>
      <c r="G21">
        <v>28248</v>
      </c>
      <c r="H21">
        <v>88</v>
      </c>
      <c r="J21" t="s">
        <v>46</v>
      </c>
      <c r="K21">
        <v>33770</v>
      </c>
      <c r="L21">
        <v>88</v>
      </c>
    </row>
    <row r="23" spans="1:18" x14ac:dyDescent="0.25">
      <c r="A23" s="7" t="s">
        <v>22</v>
      </c>
      <c r="E23" s="7"/>
      <c r="F23" s="67">
        <v>767</v>
      </c>
      <c r="G23" s="7"/>
      <c r="H23" s="7"/>
      <c r="I23" s="7"/>
      <c r="J23" s="66">
        <v>1074</v>
      </c>
      <c r="K23" s="7"/>
      <c r="M23" s="7"/>
      <c r="N23" s="67">
        <v>984</v>
      </c>
      <c r="P23" s="7"/>
      <c r="Q23" s="7"/>
      <c r="R23" s="7"/>
    </row>
    <row r="24" spans="1:18" x14ac:dyDescent="0.25">
      <c r="A24" t="s">
        <v>4</v>
      </c>
      <c r="B24">
        <v>1810</v>
      </c>
      <c r="C24">
        <v>225</v>
      </c>
      <c r="E24" s="35"/>
      <c r="F24" s="35" t="s">
        <v>42</v>
      </c>
      <c r="G24" s="35">
        <v>0</v>
      </c>
      <c r="H24">
        <v>0</v>
      </c>
      <c r="J24" s="35" t="s">
        <v>42</v>
      </c>
      <c r="K24" s="35">
        <v>0</v>
      </c>
      <c r="L24">
        <v>0</v>
      </c>
      <c r="M24" s="35"/>
      <c r="N24" s="35" t="s">
        <v>42</v>
      </c>
      <c r="O24">
        <v>0</v>
      </c>
      <c r="P24">
        <v>0</v>
      </c>
    </row>
    <row r="25" spans="1:18" x14ac:dyDescent="0.25">
      <c r="A25" t="s">
        <v>5</v>
      </c>
      <c r="B25">
        <v>0</v>
      </c>
      <c r="C25">
        <v>0</v>
      </c>
      <c r="F25" t="s">
        <v>25</v>
      </c>
      <c r="G25" s="35">
        <v>3068</v>
      </c>
      <c r="H25">
        <v>16</v>
      </c>
      <c r="J25" t="s">
        <v>25</v>
      </c>
      <c r="K25" s="35">
        <v>4296</v>
      </c>
      <c r="L25">
        <v>16</v>
      </c>
      <c r="M25" s="35"/>
      <c r="N25" t="s">
        <v>25</v>
      </c>
      <c r="O25">
        <v>3936</v>
      </c>
      <c r="P25">
        <v>16</v>
      </c>
    </row>
    <row r="26" spans="1:18" x14ac:dyDescent="0.25">
      <c r="F26" t="s">
        <v>26</v>
      </c>
      <c r="G26" s="35">
        <v>3835</v>
      </c>
      <c r="H26">
        <v>20</v>
      </c>
      <c r="J26" t="s">
        <v>26</v>
      </c>
      <c r="K26" s="35">
        <v>5370</v>
      </c>
      <c r="L26">
        <v>20</v>
      </c>
      <c r="M26" s="35"/>
      <c r="N26" t="s">
        <v>26</v>
      </c>
      <c r="O26">
        <v>4920</v>
      </c>
      <c r="P26">
        <v>20</v>
      </c>
    </row>
    <row r="27" spans="1:18" x14ac:dyDescent="0.25">
      <c r="A27" t="s">
        <v>51</v>
      </c>
      <c r="F27" t="s">
        <v>27</v>
      </c>
      <c r="G27" s="35">
        <v>4602</v>
      </c>
      <c r="H27">
        <v>24</v>
      </c>
      <c r="J27" t="s">
        <v>27</v>
      </c>
      <c r="K27" s="35">
        <v>6444</v>
      </c>
      <c r="L27">
        <v>24</v>
      </c>
      <c r="M27" s="35"/>
      <c r="N27" t="s">
        <v>27</v>
      </c>
      <c r="O27">
        <v>5904</v>
      </c>
      <c r="P27">
        <v>24</v>
      </c>
    </row>
    <row r="28" spans="1:18" x14ac:dyDescent="0.25">
      <c r="A28" t="s">
        <v>52</v>
      </c>
      <c r="F28" t="s">
        <v>28</v>
      </c>
      <c r="G28" s="35">
        <v>5369</v>
      </c>
      <c r="H28">
        <v>28</v>
      </c>
      <c r="J28" t="s">
        <v>28</v>
      </c>
      <c r="K28" s="35">
        <v>7518</v>
      </c>
      <c r="L28">
        <v>28</v>
      </c>
      <c r="M28" s="35"/>
      <c r="N28" t="s">
        <v>28</v>
      </c>
      <c r="O28">
        <v>6888</v>
      </c>
      <c r="P28">
        <v>28</v>
      </c>
    </row>
    <row r="29" spans="1:18" x14ac:dyDescent="0.25">
      <c r="F29" t="s">
        <v>29</v>
      </c>
      <c r="G29" s="35">
        <v>6136</v>
      </c>
      <c r="H29">
        <v>32</v>
      </c>
      <c r="J29" t="s">
        <v>29</v>
      </c>
      <c r="K29" s="35">
        <v>8592</v>
      </c>
      <c r="L29">
        <v>32</v>
      </c>
      <c r="M29" s="35"/>
      <c r="N29" t="s">
        <v>29</v>
      </c>
      <c r="O29">
        <v>7872</v>
      </c>
      <c r="P29">
        <v>32</v>
      </c>
    </row>
    <row r="30" spans="1:18" x14ac:dyDescent="0.25">
      <c r="F30" t="s">
        <v>30</v>
      </c>
      <c r="G30" s="35">
        <v>6903</v>
      </c>
      <c r="H30">
        <v>36</v>
      </c>
      <c r="J30" t="s">
        <v>30</v>
      </c>
      <c r="K30" s="35">
        <v>9666</v>
      </c>
      <c r="L30">
        <v>36</v>
      </c>
      <c r="M30" s="35"/>
      <c r="N30" t="s">
        <v>30</v>
      </c>
      <c r="O30">
        <v>8856</v>
      </c>
      <c r="P30">
        <v>36</v>
      </c>
    </row>
    <row r="31" spans="1:18" x14ac:dyDescent="0.25">
      <c r="F31" t="s">
        <v>31</v>
      </c>
      <c r="G31" s="35">
        <v>7670</v>
      </c>
      <c r="H31">
        <v>40</v>
      </c>
      <c r="J31" t="s">
        <v>31</v>
      </c>
      <c r="K31" s="35">
        <v>10740</v>
      </c>
      <c r="L31">
        <v>40</v>
      </c>
      <c r="M31" s="35"/>
      <c r="N31" t="s">
        <v>31</v>
      </c>
      <c r="O31">
        <v>9840</v>
      </c>
      <c r="P31">
        <v>40</v>
      </c>
    </row>
    <row r="32" spans="1:18" x14ac:dyDescent="0.25">
      <c r="F32" t="s">
        <v>32</v>
      </c>
      <c r="G32" s="35">
        <v>8437</v>
      </c>
      <c r="H32">
        <v>44</v>
      </c>
      <c r="J32" t="s">
        <v>32</v>
      </c>
      <c r="K32" s="35">
        <v>11814</v>
      </c>
      <c r="L32">
        <v>44</v>
      </c>
      <c r="M32" s="35"/>
      <c r="N32" t="s">
        <v>32</v>
      </c>
      <c r="O32">
        <v>10824</v>
      </c>
      <c r="P32">
        <v>44</v>
      </c>
    </row>
    <row r="33" spans="1:16" x14ac:dyDescent="0.25">
      <c r="F33" t="s">
        <v>33</v>
      </c>
      <c r="G33" s="35">
        <v>9204</v>
      </c>
      <c r="H33">
        <v>48</v>
      </c>
      <c r="J33" t="s">
        <v>33</v>
      </c>
      <c r="K33" s="35">
        <v>12888</v>
      </c>
      <c r="L33">
        <v>48</v>
      </c>
      <c r="M33" s="35"/>
      <c r="N33" t="s">
        <v>33</v>
      </c>
      <c r="O33">
        <v>11808</v>
      </c>
      <c r="P33">
        <v>48</v>
      </c>
    </row>
    <row r="34" spans="1:16" x14ac:dyDescent="0.25">
      <c r="F34" t="s">
        <v>34</v>
      </c>
      <c r="G34" s="35">
        <v>9971</v>
      </c>
      <c r="H34">
        <v>52</v>
      </c>
      <c r="J34" t="s">
        <v>34</v>
      </c>
      <c r="K34" s="35">
        <v>13962</v>
      </c>
      <c r="L34">
        <v>52</v>
      </c>
      <c r="M34" s="35"/>
      <c r="N34" t="s">
        <v>34</v>
      </c>
      <c r="O34">
        <v>12792</v>
      </c>
      <c r="P34">
        <v>52</v>
      </c>
    </row>
    <row r="35" spans="1:16" x14ac:dyDescent="0.25">
      <c r="F35" t="s">
        <v>35</v>
      </c>
      <c r="G35" s="35">
        <v>10738</v>
      </c>
      <c r="H35">
        <v>56</v>
      </c>
      <c r="J35" t="s">
        <v>35</v>
      </c>
      <c r="K35" s="35">
        <v>15036</v>
      </c>
      <c r="L35">
        <v>56</v>
      </c>
      <c r="M35" s="35"/>
      <c r="N35" t="s">
        <v>35</v>
      </c>
      <c r="O35">
        <v>13776</v>
      </c>
      <c r="P35">
        <v>56</v>
      </c>
    </row>
    <row r="36" spans="1:16" x14ac:dyDescent="0.25">
      <c r="F36" t="s">
        <v>36</v>
      </c>
      <c r="G36" s="35">
        <v>11505</v>
      </c>
      <c r="H36">
        <v>60</v>
      </c>
      <c r="J36" t="s">
        <v>36</v>
      </c>
      <c r="K36" s="35">
        <v>16110</v>
      </c>
      <c r="L36">
        <v>60</v>
      </c>
      <c r="M36" s="35"/>
      <c r="N36" t="s">
        <v>36</v>
      </c>
      <c r="O36">
        <v>14760</v>
      </c>
      <c r="P36">
        <v>60</v>
      </c>
    </row>
    <row r="37" spans="1:16" x14ac:dyDescent="0.25">
      <c r="F37" t="s">
        <v>37</v>
      </c>
      <c r="G37" s="35">
        <v>12272</v>
      </c>
      <c r="H37">
        <v>64</v>
      </c>
      <c r="J37" t="s">
        <v>37</v>
      </c>
      <c r="K37" s="35">
        <v>17184</v>
      </c>
      <c r="L37">
        <v>64</v>
      </c>
      <c r="M37" s="35"/>
      <c r="N37" t="s">
        <v>37</v>
      </c>
      <c r="O37">
        <v>15744</v>
      </c>
      <c r="P37">
        <v>64</v>
      </c>
    </row>
    <row r="38" spans="1:16" x14ac:dyDescent="0.25">
      <c r="F38" t="s">
        <v>38</v>
      </c>
      <c r="G38" s="35">
        <v>13039</v>
      </c>
      <c r="H38">
        <v>68</v>
      </c>
      <c r="J38" t="s">
        <v>38</v>
      </c>
      <c r="K38" s="35">
        <v>18258</v>
      </c>
      <c r="L38">
        <v>68</v>
      </c>
      <c r="M38" s="35"/>
      <c r="N38" t="s">
        <v>38</v>
      </c>
      <c r="O38">
        <v>16728</v>
      </c>
      <c r="P38">
        <v>68</v>
      </c>
    </row>
    <row r="39" spans="1:16" x14ac:dyDescent="0.25">
      <c r="F39" t="s">
        <v>39</v>
      </c>
      <c r="G39" s="35">
        <v>13806</v>
      </c>
      <c r="H39">
        <v>72</v>
      </c>
      <c r="J39" t="s">
        <v>39</v>
      </c>
      <c r="K39" s="35">
        <v>19332</v>
      </c>
      <c r="L39">
        <v>72</v>
      </c>
      <c r="M39" s="35"/>
      <c r="N39" t="s">
        <v>39</v>
      </c>
      <c r="O39">
        <v>17712</v>
      </c>
      <c r="P39">
        <v>72</v>
      </c>
    </row>
    <row r="40" spans="1:16" x14ac:dyDescent="0.25">
      <c r="F40" t="s">
        <v>40</v>
      </c>
      <c r="G40" s="35">
        <v>14573</v>
      </c>
      <c r="H40">
        <v>76</v>
      </c>
      <c r="J40" t="s">
        <v>40</v>
      </c>
      <c r="K40" s="35">
        <v>20406</v>
      </c>
      <c r="L40">
        <v>76</v>
      </c>
      <c r="M40" s="35"/>
      <c r="N40" t="s">
        <v>40</v>
      </c>
      <c r="O40">
        <v>18696</v>
      </c>
      <c r="P40">
        <v>76</v>
      </c>
    </row>
    <row r="41" spans="1:16" x14ac:dyDescent="0.25">
      <c r="F41" t="s">
        <v>41</v>
      </c>
      <c r="G41" s="35">
        <v>15340</v>
      </c>
      <c r="H41">
        <v>80</v>
      </c>
      <c r="J41" t="s">
        <v>41</v>
      </c>
      <c r="K41" s="35">
        <v>21480</v>
      </c>
      <c r="L41">
        <v>80</v>
      </c>
      <c r="M41" s="35"/>
      <c r="N41" t="s">
        <v>41</v>
      </c>
      <c r="O41">
        <v>19680</v>
      </c>
      <c r="P41">
        <v>80</v>
      </c>
    </row>
    <row r="42" spans="1:16" x14ac:dyDescent="0.25">
      <c r="F42" t="s">
        <v>45</v>
      </c>
      <c r="G42" s="35">
        <v>16107</v>
      </c>
      <c r="H42">
        <v>84</v>
      </c>
      <c r="J42" t="s">
        <v>45</v>
      </c>
      <c r="K42" s="35">
        <v>22554</v>
      </c>
      <c r="L42">
        <v>84</v>
      </c>
      <c r="N42" t="s">
        <v>45</v>
      </c>
      <c r="O42">
        <v>20664</v>
      </c>
      <c r="P42">
        <v>84</v>
      </c>
    </row>
    <row r="43" spans="1:16" x14ac:dyDescent="0.25">
      <c r="E43" s="7"/>
      <c r="F43" t="s">
        <v>46</v>
      </c>
      <c r="G43" s="35">
        <v>16874</v>
      </c>
      <c r="H43">
        <v>88</v>
      </c>
      <c r="I43" s="7"/>
      <c r="J43" t="s">
        <v>46</v>
      </c>
      <c r="K43" s="35">
        <v>23628</v>
      </c>
      <c r="L43">
        <v>88</v>
      </c>
      <c r="N43" t="s">
        <v>46</v>
      </c>
      <c r="O43">
        <v>21648</v>
      </c>
      <c r="P43">
        <v>88</v>
      </c>
    </row>
    <row r="44" spans="1:16" x14ac:dyDescent="0.25">
      <c r="E44" s="35"/>
      <c r="F44" s="35"/>
      <c r="G44" s="35"/>
    </row>
    <row r="45" spans="1:16" x14ac:dyDescent="0.25">
      <c r="A45" t="s">
        <v>77</v>
      </c>
      <c r="F45" s="35"/>
      <c r="G45" s="35"/>
    </row>
    <row r="46" spans="1:16" x14ac:dyDescent="0.25">
      <c r="A46" t="s">
        <v>78</v>
      </c>
      <c r="F46" s="35"/>
      <c r="G46" s="35"/>
    </row>
    <row r="47" spans="1:16" x14ac:dyDescent="0.25">
      <c r="A47" t="s">
        <v>79</v>
      </c>
      <c r="F47" s="35"/>
      <c r="G47" s="35"/>
    </row>
    <row r="48" spans="1:16" x14ac:dyDescent="0.25">
      <c r="A48" t="s">
        <v>80</v>
      </c>
      <c r="F48" s="35"/>
      <c r="G48" s="35"/>
    </row>
    <row r="49" spans="1:7" x14ac:dyDescent="0.25">
      <c r="A49" t="s">
        <v>81</v>
      </c>
      <c r="F49" s="35"/>
      <c r="G49" s="35"/>
    </row>
    <row r="50" spans="1:7" x14ac:dyDescent="0.25">
      <c r="A50" t="s">
        <v>82</v>
      </c>
      <c r="F50" s="35"/>
      <c r="G50" s="35"/>
    </row>
    <row r="51" spans="1:7" x14ac:dyDescent="0.25">
      <c r="F51" s="35"/>
      <c r="G51" s="35"/>
    </row>
    <row r="52" spans="1:7" x14ac:dyDescent="0.25">
      <c r="F52" s="35"/>
      <c r="G52" s="35"/>
    </row>
    <row r="53" spans="1:7" x14ac:dyDescent="0.25">
      <c r="F53" s="35"/>
      <c r="G53" s="35"/>
    </row>
    <row r="54" spans="1:7" x14ac:dyDescent="0.25">
      <c r="F54" s="35"/>
      <c r="G54" s="35"/>
    </row>
    <row r="55" spans="1:7" x14ac:dyDescent="0.25">
      <c r="F55" s="35"/>
      <c r="G55" s="35"/>
    </row>
    <row r="56" spans="1:7" x14ac:dyDescent="0.25">
      <c r="F56" s="35"/>
      <c r="G56" s="35"/>
    </row>
    <row r="57" spans="1:7" x14ac:dyDescent="0.25">
      <c r="F57" s="35"/>
      <c r="G57" s="35"/>
    </row>
    <row r="58" spans="1:7" x14ac:dyDescent="0.25">
      <c r="F58" s="35"/>
      <c r="G58" s="35"/>
    </row>
    <row r="59" spans="1:7" x14ac:dyDescent="0.25">
      <c r="F59" s="35"/>
      <c r="G59" s="35"/>
    </row>
    <row r="60" spans="1:7" x14ac:dyDescent="0.25">
      <c r="F60" s="35"/>
      <c r="G60" s="35"/>
    </row>
    <row r="61" spans="1:7" x14ac:dyDescent="0.25">
      <c r="F61" s="35"/>
      <c r="G61" s="35"/>
    </row>
  </sheetData>
  <sheetProtection algorithmName="SHA-512" hashValue="phQGUZGjn3zE96xKnbRw3Kvkl5CQQLHBJ7iQ4WnMlUJuDNVKzcR6nSLr49iTgk8jnfHHn6JqK5uoXV+C/sB+Lw==" saltValue="iKOlfLgnp2qJ4Y17Ycflcw==" spinCount="100000"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Worksheets Home</vt:lpstr>
      <vt:lpstr>CFSP, CP, CI, HE, RMS</vt:lpstr>
      <vt:lpstr>Ph.D., Ed.D.</vt:lpstr>
      <vt:lpstr>ECSE, ELPS, TE</vt:lpstr>
      <vt:lpstr>On-Campus MLIS</vt:lpstr>
      <vt:lpstr>Online Programs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2022-03-03T21:13:55Z</dcterms:modified>
</cp:coreProperties>
</file>