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fileSharing readOnlyRecommended="1"/>
  <workbookPr/>
  <mc:AlternateContent xmlns:mc="http://schemas.openxmlformats.org/markup-compatibility/2006">
    <mc:Choice Requires="x15">
      <x15ac:absPath xmlns:x15ac="http://schemas.microsoft.com/office/spreadsheetml/2010/11/ac" url="R:\Financial Aid\Communication\2223\Aid Offer Materials\Grad &amp; Law\Billing Worksheets\"/>
    </mc:Choice>
  </mc:AlternateContent>
  <xr:revisionPtr revIDLastSave="0" documentId="13_ncr:1_{5D7F109E-8D83-4FD9-8485-3A926F5F594F}" xr6:coauthVersionLast="47" xr6:coauthVersionMax="47" xr10:uidLastSave="{00000000-0000-0000-0000-000000000000}"/>
  <workbookProtection workbookAlgorithmName="SHA-512" workbookHashValue="WqQAWKTJluuX8Swk5ZBOxENXHiSSw7FXqAONNCr/u5qYMBTa7EX0qmX4UZeMnBC0K5WsUWqWWnyHto4g+2ciqA==" workbookSaltValue="CFCencA3yYqh2Ox7OCPGCg==" workbookSpinCount="100000" lockStructure="1"/>
  <bookViews>
    <workbookView xWindow="33600" yWindow="900" windowWidth="19050" windowHeight="12975" tabRatio="721" xr2:uid="{00000000-000D-0000-FFFF-FFFF00000000}"/>
  </bookViews>
  <sheets>
    <sheet name="Worksheets Home" sheetId="4" r:id="rId1"/>
    <sheet name="Cyber Sec." sheetId="34" r:id="rId2"/>
    <sheet name="Data Sci" sheetId="32" r:id="rId3"/>
    <sheet name="Data Sci - Online" sheetId="15" r:id="rId4"/>
    <sheet name="All Other" sheetId="33" r:id="rId5"/>
    <sheet name="Data" sheetId="31" state="hidden" r:id="rId6"/>
  </sheets>
  <definedNames>
    <definedName name="Credits" localSheetId="4">#REF!</definedName>
    <definedName name="Credits" localSheetId="1">#REF!</definedName>
    <definedName name="Credi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7" i="33" l="1"/>
  <c r="L17" i="33"/>
  <c r="J17" i="33"/>
  <c r="N15" i="32"/>
  <c r="J15" i="32"/>
  <c r="L15" i="32"/>
  <c r="N17" i="34"/>
  <c r="L17" i="34"/>
  <c r="J17" i="34"/>
  <c r="N24" i="33"/>
  <c r="L24" i="33"/>
  <c r="J24" i="33"/>
  <c r="N23" i="33"/>
  <c r="L23" i="33"/>
  <c r="J23" i="33"/>
  <c r="O19" i="15"/>
  <c r="M19" i="15"/>
  <c r="K19" i="15"/>
  <c r="I19" i="15"/>
  <c r="O18" i="15"/>
  <c r="M18" i="15"/>
  <c r="K18" i="15"/>
  <c r="I18" i="15"/>
  <c r="N22" i="32"/>
  <c r="L22" i="32"/>
  <c r="J22" i="32"/>
  <c r="N21" i="32"/>
  <c r="L21" i="32"/>
  <c r="J21" i="32"/>
  <c r="N24" i="34"/>
  <c r="L24" i="34"/>
  <c r="J24" i="34"/>
  <c r="N23" i="34"/>
  <c r="L23" i="34"/>
  <c r="J23" i="34"/>
  <c r="N12" i="32" l="1"/>
  <c r="L12" i="32"/>
  <c r="J12" i="32"/>
  <c r="N10" i="32"/>
  <c r="L10" i="32"/>
  <c r="J10" i="32"/>
  <c r="O12" i="15"/>
  <c r="M12" i="15"/>
  <c r="K12" i="15"/>
  <c r="I12" i="15"/>
  <c r="O11" i="15"/>
  <c r="M11" i="15"/>
  <c r="K11" i="15"/>
  <c r="I11" i="15"/>
  <c r="C32" i="34" l="1"/>
  <c r="N14" i="34"/>
  <c r="L14" i="34"/>
  <c r="J14" i="34"/>
  <c r="N12" i="34"/>
  <c r="L12" i="34"/>
  <c r="J12" i="34"/>
  <c r="H26" i="34"/>
  <c r="N25" i="34"/>
  <c r="L25" i="34"/>
  <c r="J25" i="34"/>
  <c r="N22" i="34"/>
  <c r="L22" i="34"/>
  <c r="J22" i="34"/>
  <c r="N21" i="34"/>
  <c r="L21" i="34"/>
  <c r="J21" i="34"/>
  <c r="N16" i="34"/>
  <c r="J16" i="34"/>
  <c r="N15" i="34"/>
  <c r="L15" i="34"/>
  <c r="J15" i="34"/>
  <c r="C32" i="33"/>
  <c r="N14" i="33"/>
  <c r="L14" i="33"/>
  <c r="J14" i="33"/>
  <c r="N12" i="33"/>
  <c r="L12" i="33"/>
  <c r="J12" i="33"/>
  <c r="H26" i="33"/>
  <c r="N25" i="33"/>
  <c r="L25" i="33"/>
  <c r="J25" i="33"/>
  <c r="N22" i="33"/>
  <c r="L22" i="33"/>
  <c r="J22" i="33"/>
  <c r="N21" i="33"/>
  <c r="L21" i="33"/>
  <c r="J21" i="33"/>
  <c r="N16" i="33"/>
  <c r="J16" i="33"/>
  <c r="N15" i="33"/>
  <c r="L15" i="33"/>
  <c r="J15" i="33"/>
  <c r="H23" i="34" l="1"/>
  <c r="H24" i="33"/>
  <c r="N27" i="34"/>
  <c r="H16" i="33"/>
  <c r="H15" i="33"/>
  <c r="H23" i="33"/>
  <c r="H27" i="33" s="1"/>
  <c r="L27" i="33"/>
  <c r="N27" i="33"/>
  <c r="J27" i="33"/>
  <c r="H17" i="33"/>
  <c r="H15" i="34"/>
  <c r="H17" i="34"/>
  <c r="L27" i="34"/>
  <c r="H16" i="34"/>
  <c r="J27" i="34"/>
  <c r="H24" i="34"/>
  <c r="N18" i="34"/>
  <c r="L18" i="34"/>
  <c r="H14" i="34"/>
  <c r="J18" i="34"/>
  <c r="H12" i="34"/>
  <c r="L18" i="33"/>
  <c r="H14" i="33"/>
  <c r="J18" i="33"/>
  <c r="N18" i="33"/>
  <c r="H12" i="33"/>
  <c r="H27" i="34" l="1"/>
  <c r="H18" i="33"/>
  <c r="H29" i="33" s="1"/>
  <c r="N29" i="34"/>
  <c r="L29" i="33"/>
  <c r="N29" i="33"/>
  <c r="J29" i="33"/>
  <c r="L29" i="34"/>
  <c r="J29" i="34"/>
  <c r="H18" i="34"/>
  <c r="H29" i="34" s="1"/>
  <c r="G19" i="15" l="1"/>
  <c r="G18" i="15"/>
  <c r="N14" i="32" l="1"/>
  <c r="J14" i="32"/>
  <c r="N13" i="32" l="1"/>
  <c r="L13" i="32"/>
  <c r="J13" i="32"/>
  <c r="J19" i="32"/>
  <c r="L19" i="32"/>
  <c r="N19" i="32"/>
  <c r="J20" i="32"/>
  <c r="L20" i="32"/>
  <c r="N20" i="32"/>
  <c r="J23" i="32"/>
  <c r="L23" i="32"/>
  <c r="N23" i="32"/>
  <c r="H24" i="32"/>
  <c r="H13" i="32" l="1"/>
  <c r="N16" i="32"/>
  <c r="H14" i="32"/>
  <c r="H15" i="32"/>
  <c r="L16" i="32"/>
  <c r="H12" i="32"/>
  <c r="H10" i="32"/>
  <c r="J25" i="32"/>
  <c r="H21" i="32"/>
  <c r="N25" i="32"/>
  <c r="L25" i="32"/>
  <c r="H22" i="32"/>
  <c r="J16" i="32"/>
  <c r="N27" i="32" l="1"/>
  <c r="L27" i="32"/>
  <c r="H16" i="32"/>
  <c r="J27" i="32"/>
  <c r="H25" i="32"/>
  <c r="H27" i="32" l="1"/>
  <c r="O20" i="15" l="1"/>
  <c r="O17" i="15"/>
  <c r="O16" i="15"/>
  <c r="M20" i="15"/>
  <c r="M17" i="15"/>
  <c r="M16" i="15"/>
  <c r="K20" i="15"/>
  <c r="K17" i="15"/>
  <c r="K16" i="15"/>
  <c r="I20" i="15"/>
  <c r="I17" i="15"/>
  <c r="I16" i="15"/>
  <c r="G21" i="15" l="1"/>
  <c r="M22" i="15" l="1"/>
  <c r="O13" i="15"/>
  <c r="M13" i="15"/>
  <c r="K13" i="15"/>
  <c r="G12" i="15"/>
  <c r="I13" i="15"/>
  <c r="G11" i="15"/>
  <c r="G22" i="15"/>
  <c r="O22" i="15" l="1"/>
  <c r="O24" i="15" s="1"/>
  <c r="M24" i="15"/>
  <c r="I22" i="15"/>
  <c r="I24" i="15" s="1"/>
  <c r="G13" i="15"/>
  <c r="G24" i="15" s="1"/>
  <c r="K22" i="15"/>
  <c r="K24" i="15" s="1"/>
</calcChain>
</file>

<file path=xl/sharedStrings.xml><?xml version="1.0" encoding="utf-8"?>
<sst xmlns="http://schemas.openxmlformats.org/spreadsheetml/2006/main" count="242" uniqueCount="82">
  <si>
    <t>Fees:</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</si>
  <si>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</si>
  <si>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</si>
  <si>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</si>
  <si>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Yes</t>
  </si>
  <si>
    <t>No</t>
  </si>
  <si>
    <t>Total Charges:</t>
  </si>
  <si>
    <t>CHARGES</t>
  </si>
  <si>
    <t>Outside Scholarship(s)</t>
  </si>
  <si>
    <t>Other Assistance</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</si>
  <si>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</si>
  <si>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</si>
  <si>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</si>
  <si>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</si>
  <si>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</si>
  <si>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</si>
  <si>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DU Scholarships and Grants</t>
  </si>
  <si>
    <t>Student Fees</t>
  </si>
  <si>
    <r>
      <rPr>
        <vertAlign val="superscript"/>
        <sz val="11"/>
        <color theme="1"/>
        <rFont val="Calibri"/>
        <family val="2"/>
        <scheme val="minor"/>
      </rPr>
      <t>2</t>
    </r>
    <r>
      <rPr>
        <sz val="11"/>
        <color theme="1"/>
        <rFont val="Calibri"/>
        <family val="2"/>
        <scheme val="minor"/>
      </rPr>
      <t>Technology fees are $4 per credit. If you will be enrolled in less than 4 credits, you will not be eligible for federal student loans.</t>
    </r>
  </si>
  <si>
    <r>
      <t>Direct Unsubsidized Loan</t>
    </r>
    <r>
      <rPr>
        <vertAlign val="superscript"/>
        <sz val="11"/>
        <color theme="1"/>
        <rFont val="Calibri"/>
        <family val="2"/>
        <scheme val="minor"/>
      </rPr>
      <t>3</t>
    </r>
  </si>
  <si>
    <r>
      <t>Direct Graduate PLUS Loan</t>
    </r>
    <r>
      <rPr>
        <vertAlign val="superscript"/>
        <sz val="11"/>
        <color theme="1"/>
        <rFont val="Calibri"/>
        <family val="2"/>
        <scheme val="minor"/>
      </rPr>
      <t>4</t>
    </r>
  </si>
  <si>
    <t>Flat-Rate</t>
  </si>
  <si>
    <t>Health Insurance</t>
  </si>
  <si>
    <t>Other Annual Assistance</t>
  </si>
  <si>
    <t>Payment(s) Made and/or Employer Reimbursements</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</si>
  <si>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</si>
  <si>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</si>
  <si>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</si>
  <si>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</si>
  <si>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</si>
  <si>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</si>
  <si>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</si>
  <si>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</si>
  <si>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</si>
  <si>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</si>
  <si>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</si>
  <si>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</si>
  <si>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</si>
  <si>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</si>
  <si>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</si>
  <si>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</si>
  <si>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</si>
  <si>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not enrolled</t>
  </si>
  <si>
    <t>How many credits will you take each quarter?</t>
  </si>
  <si>
    <t>Student Fee</t>
  </si>
  <si>
    <t>21 credits</t>
  </si>
  <si>
    <t>22 credits</t>
  </si>
  <si>
    <t xml:space="preserve">Will you use DU's Health &amp; Counseling Services? </t>
  </si>
  <si>
    <t>Will you enroll in DU's Health Insurance Plan?</t>
  </si>
  <si>
    <t>Technology fees are $4 per credit. If you will be enrolled in less than 4 credits, you will not be eligible for federal student loans.</t>
  </si>
  <si>
    <t>When will/did you start this program?</t>
  </si>
  <si>
    <t>2020 Fall Quarter or Later</t>
  </si>
  <si>
    <t>Prior to 2020 Fall Quarter</t>
  </si>
  <si>
    <t>Choose Your Program:</t>
  </si>
  <si>
    <t>Data Science - Online Program</t>
  </si>
  <si>
    <t>Data Science - On-Campus Program</t>
  </si>
  <si>
    <t>Cyber Security Program</t>
  </si>
  <si>
    <t>All other programs</t>
  </si>
  <si>
    <t>This worksheet automatically deducts the 1.057% origination fee from the Direct Unsubsidized loan amount.</t>
  </si>
  <si>
    <t>The Direct Graduate PLUS loan is a supplemental, credit-based loan that you must apply for separately through StudentAid.gov. This loan 
  will not appear on your initial financial aid offer and is not guaranteed financing, since you must be approved by the Department of 
  Education before you can borrow it. This worksheet automatically deducts the 4.228% origination fee from the total amount.</t>
  </si>
  <si>
    <r>
      <rPr>
        <vertAlign val="superscript"/>
        <sz val="11"/>
        <color theme="1"/>
        <rFont val="Calibri"/>
        <family val="2"/>
        <scheme val="minor"/>
      </rPr>
      <t>3</t>
    </r>
    <r>
      <rPr>
        <sz val="11"/>
        <color theme="1"/>
        <rFont val="Calibri"/>
        <family val="2"/>
        <scheme val="minor"/>
      </rPr>
      <t>This worksheet automatically deducts the 1.057% origination fee from the Direct Unsubsidized loan amount.</t>
    </r>
  </si>
  <si>
    <r>
      <rPr>
        <vertAlign val="superscript"/>
        <sz val="11"/>
        <color theme="1"/>
        <rFont val="Calibri"/>
        <family val="2"/>
        <scheme val="minor"/>
      </rPr>
      <t>4</t>
    </r>
    <r>
      <rPr>
        <sz val="11"/>
        <color theme="1"/>
        <rFont val="Calibri"/>
        <family val="2"/>
        <scheme val="minor"/>
      </rPr>
      <t>The Direct Graduate PLUS loan is a supplemental, credit-based loan that you must apply for separately through StudentAid.gov. This loan 
  will not appear on your initial financial aid offer and is not guaranteed financing, since you must be approved by the Department of 
  Education before you can borrow it. This worksheet automatically deducts the 4.228% origination fee from the total amount.</t>
    </r>
  </si>
  <si>
    <r>
      <t xml:space="preserve">2022-23 Estimated Billing Worksheets
</t>
    </r>
    <r>
      <rPr>
        <b/>
        <i/>
        <sz val="16"/>
        <color theme="1"/>
        <rFont val="Calibri"/>
        <family val="2"/>
        <scheme val="minor"/>
      </rPr>
      <t>Ritchie School of Engineering &amp; Computer Science</t>
    </r>
  </si>
  <si>
    <r>
      <t>These worksheets are designed to help you estimate your invoices throughout the academic year.</t>
    </r>
    <r>
      <rPr>
        <b/>
        <sz val="11"/>
        <color rgb="FF000000"/>
        <rFont val="Calibri"/>
        <family val="2"/>
        <scheme val="minor"/>
      </rPr>
      <t xml:space="preserve"> In order to complete a worksheet, you'll need a copy of your most recent 2022-2023 financial aid offer.</t>
    </r>
    <r>
      <rPr>
        <sz val="11"/>
        <color rgb="FF000000"/>
        <rFont val="Calibri"/>
        <family val="2"/>
        <scheme val="minor"/>
      </rPr>
      <t xml:space="preserve"> Fill in the sections highlighted in blue. You will likely not have all the types of aid listed in the "credits" section. Please remember that these worksheets are only a planning tool. Additional, unanticipated charges or credits may be included on your actual bill. </t>
    </r>
  </si>
  <si>
    <t>Tuition for the 2022-2023 academic year is $1,535 per credit.</t>
  </si>
  <si>
    <t>Tuition for the 2022-2023 academic year is $767 per credit.</t>
  </si>
  <si>
    <t>Tuition for the 2022-2023 academic year is $1,122 per credit.</t>
  </si>
  <si>
    <t>Tuition for the 2022-2023 academic year is $1,535 per credit. If enrolled in 12-18 credits, tuition will be charged a flat rate of $18,420.</t>
  </si>
  <si>
    <r>
      <t xml:space="preserve">2022-23 Estimated Billing Worksheet
</t>
    </r>
    <r>
      <rPr>
        <b/>
        <i/>
        <sz val="16"/>
        <color theme="1"/>
        <rFont val="Calibri"/>
        <family val="2"/>
        <scheme val="minor"/>
      </rPr>
      <t>Cyber Security Program</t>
    </r>
  </si>
  <si>
    <t>FALL 2022:</t>
  </si>
  <si>
    <t>WINTER 2023:</t>
  </si>
  <si>
    <t>SPRING 2023:</t>
  </si>
  <si>
    <t>FALL 2022</t>
  </si>
  <si>
    <t>WINTER 2023</t>
  </si>
  <si>
    <t>SPRING 2023</t>
  </si>
  <si>
    <r>
      <t xml:space="preserve">2022-23 Estimated Billing Worksheet
</t>
    </r>
    <r>
      <rPr>
        <b/>
        <i/>
        <sz val="16"/>
        <color theme="1"/>
        <rFont val="Calibri"/>
        <family val="2"/>
        <scheme val="minor"/>
      </rPr>
      <t>Data Science - On-Campus Program</t>
    </r>
  </si>
  <si>
    <t>Tuition for the 2021-2022 academic year is $1,122 per credit.</t>
  </si>
  <si>
    <r>
      <t xml:space="preserve">2022-23 Estimated Billing Worksheet
</t>
    </r>
    <r>
      <rPr>
        <b/>
        <i/>
        <sz val="16"/>
        <color theme="1"/>
        <rFont val="Calibri"/>
        <family val="2"/>
        <scheme val="minor"/>
      </rPr>
      <t>DataScience@Denver Online Program</t>
    </r>
  </si>
  <si>
    <t>SUMMER 2023:</t>
  </si>
  <si>
    <t>SUMMER 2023</t>
  </si>
  <si>
    <r>
      <t>1</t>
    </r>
    <r>
      <rPr>
        <sz val="11"/>
        <color theme="1"/>
        <rFont val="Calibri"/>
        <family val="2"/>
        <scheme val="minor"/>
      </rPr>
      <t>Tuition for the 2022-2023 academic year is $1,122 per credit.</t>
    </r>
  </si>
  <si>
    <r>
      <t xml:space="preserve">2022-23 Estimated Billing Worksheet
</t>
    </r>
    <r>
      <rPr>
        <b/>
        <i/>
        <sz val="16"/>
        <color theme="1"/>
        <rFont val="Calibri"/>
        <family val="2"/>
        <scheme val="minor"/>
      </rPr>
      <t>Most Programs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</si>
</sst>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i/>
      <sz val="16"/>
      <color theme="1"/>
      <name val="Calibri"/>
      <family val="2"/>
      <scheme val="minor"/>
    </font>
    <font>
      <b/>
      <sz val="12"/>
      <color theme="1"/>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b/>
      <i/>
      <u/>
      <sz val="14"/>
      <color theme="1"/>
      <name val="Calibri"/>
      <family val="2"/>
      <scheme val="minor"/>
    </font>
    <font>
      <i/>
      <sz val="11"/>
      <color rgb="FF000000"/>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s>
  <borders count="14">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right style="dashed">
        <color indexed="64"/>
      </right>
      <top/>
      <bottom/>
      <diagonal/>
    </border>
    <border>
      <left/>
      <right style="dashed">
        <color indexed="64"/>
      </right>
      <top/>
      <bottom style="thin">
        <color indexed="64"/>
      </bottom>
      <diagonal/>
    </border>
    <border>
      <left style="dotted">
        <color indexed="64"/>
      </left>
      <right style="dotted">
        <color indexed="64"/>
      </right>
      <top style="dotted">
        <color indexed="64"/>
      </top>
      <bottom style="thin">
        <color indexed="64"/>
      </bottom>
      <diagonal/>
    </border>
    <border>
      <left/>
      <right style="dotted">
        <color auto="1"/>
      </right>
      <top style="dotted">
        <color auto="1"/>
      </top>
      <bottom style="dotted">
        <color auto="1"/>
      </bottom>
      <diagonal/>
    </border>
    <border>
      <left style="dotted">
        <color auto="1"/>
      </left>
      <right/>
      <top style="dotted">
        <color auto="1"/>
      </top>
      <bottom style="dotted">
        <color auto="1"/>
      </bottom>
      <diagonal/>
    </border>
    <border>
      <left/>
      <right/>
      <top/>
      <bottom style="dashed">
        <color indexed="64"/>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87">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6" fillId="0" borderId="0" xfId="0" applyFont="1" applyBorder="1" applyAlignment="1">
      <alignment horizontal="left"/>
    </xf>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7" fillId="0" borderId="7" xfId="0" applyFont="1" applyBorder="1"/>
    <xf numFmtId="44" fontId="0" fillId="2" borderId="6" xfId="1" applyNumberFormat="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4" fillId="0" borderId="0" xfId="0" applyFont="1" applyFill="1" applyBorder="1" applyAlignment="1" applyProtection="1">
      <alignment horizontal="center" wrapText="1"/>
      <protection locked="0"/>
    </xf>
    <xf numFmtId="44" fontId="10" fillId="0" borderId="7" xfId="1" applyFont="1" applyBorder="1"/>
    <xf numFmtId="0" fontId="10" fillId="0" borderId="7" xfId="0" applyFont="1" applyBorder="1"/>
    <xf numFmtId="0" fontId="0" fillId="0" borderId="0" xfId="0" applyFill="1"/>
    <xf numFmtId="0" fontId="0" fillId="3" borderId="3" xfId="0" applyFill="1" applyBorder="1"/>
    <xf numFmtId="44" fontId="0" fillId="3" borderId="3" xfId="1" applyFont="1" applyFill="1" applyBorder="1"/>
    <xf numFmtId="0" fontId="4" fillId="0" borderId="0" xfId="0" applyFont="1" applyBorder="1" applyAlignment="1">
      <alignment horizontal="left" wrapText="1" indent="1"/>
    </xf>
    <xf numFmtId="0" fontId="0" fillId="3" borderId="0" xfId="0" applyFill="1" applyBorder="1"/>
    <xf numFmtId="44" fontId="0" fillId="3" borderId="0" xfId="1" applyFont="1" applyFill="1" applyBorder="1"/>
    <xf numFmtId="0" fontId="0" fillId="2" borderId="4" xfId="0" applyFill="1" applyBorder="1" applyProtection="1">
      <protection locked="0"/>
    </xf>
    <xf numFmtId="0" fontId="0" fillId="0" borderId="3" xfId="0" applyFill="1" applyBorder="1"/>
    <xf numFmtId="44" fontId="0" fillId="0" borderId="3" xfId="1" applyFont="1" applyFill="1" applyBorder="1"/>
    <xf numFmtId="44" fontId="0" fillId="3" borderId="3" xfId="1" applyFont="1" applyFill="1" applyBorder="1" applyProtection="1">
      <protection locked="0"/>
    </xf>
    <xf numFmtId="0" fontId="0" fillId="0" borderId="0" xfId="0" applyFont="1"/>
    <xf numFmtId="0" fontId="0" fillId="0" borderId="0" xfId="0" applyBorder="1"/>
    <xf numFmtId="44" fontId="0" fillId="0" borderId="0" xfId="1" applyFont="1" applyBorder="1"/>
    <xf numFmtId="0" fontId="0" fillId="0" borderId="0" xfId="0" applyFill="1" applyBorder="1" applyAlignment="1">
      <alignment horizontal="left"/>
    </xf>
    <xf numFmtId="0" fontId="0" fillId="0" borderId="0" xfId="0" applyFill="1" applyBorder="1"/>
    <xf numFmtId="44" fontId="0" fillId="0" borderId="0" xfId="1" applyFont="1" applyFill="1" applyBorder="1"/>
    <xf numFmtId="0" fontId="0" fillId="0" borderId="0" xfId="0" applyAlignment="1">
      <alignment horizontal="left" indent="2"/>
    </xf>
    <xf numFmtId="0" fontId="2" fillId="0" borderId="1" xfId="0" applyFont="1" applyBorder="1"/>
    <xf numFmtId="44" fontId="2" fillId="0" borderId="1" xfId="1" applyFont="1" applyBorder="1"/>
    <xf numFmtId="0" fontId="14" fillId="0" borderId="0" xfId="0" applyFont="1" applyAlignment="1">
      <alignment horizontal="left" vertical="top" indent="3"/>
    </xf>
    <xf numFmtId="0" fontId="13" fillId="0" borderId="0" xfId="2" applyAlignment="1" applyProtection="1">
      <alignment horizontal="left" indent="5"/>
      <protection locked="0"/>
    </xf>
    <xf numFmtId="0" fontId="0" fillId="0" borderId="0" xfId="0" applyProtection="1">
      <protection locked="0"/>
    </xf>
    <xf numFmtId="0" fontId="0" fillId="0" borderId="0" xfId="0" applyProtection="1"/>
    <xf numFmtId="0" fontId="4" fillId="2" borderId="4" xfId="0" applyFont="1" applyFill="1" applyBorder="1" applyAlignment="1" applyProtection="1">
      <alignment wrapText="1"/>
      <protection locked="0"/>
    </xf>
    <xf numFmtId="44" fontId="2" fillId="0" borderId="0" xfId="1" applyFont="1" applyAlignment="1">
      <alignment horizontal="center"/>
    </xf>
    <xf numFmtId="0" fontId="0" fillId="2" borderId="5" xfId="0" applyFill="1" applyBorder="1" applyProtection="1">
      <protection locked="0"/>
    </xf>
    <xf numFmtId="0" fontId="11" fillId="0" borderId="0" xfId="0" applyFont="1" applyBorder="1" applyAlignment="1">
      <alignment horizontal="left" vertical="center" wrapText="1" indent="1"/>
    </xf>
    <xf numFmtId="0" fontId="0" fillId="0" borderId="0" xfId="0" applyAlignment="1">
      <alignment horizontal="left"/>
    </xf>
    <xf numFmtId="0" fontId="5" fillId="0" borderId="0" xfId="0" applyFont="1" applyAlignment="1">
      <alignment horizontal="right" vertical="top"/>
    </xf>
    <xf numFmtId="0" fontId="5" fillId="0" borderId="0" xfId="0" applyFont="1" applyAlignment="1">
      <alignment horizontal="right"/>
    </xf>
    <xf numFmtId="0" fontId="0" fillId="0" borderId="0" xfId="0" applyAlignment="1"/>
    <xf numFmtId="0" fontId="0" fillId="0" borderId="0" xfId="0" applyAlignment="1">
      <alignment wrapText="1"/>
    </xf>
    <xf numFmtId="0" fontId="5" fillId="0" borderId="0" xfId="0" applyFont="1"/>
    <xf numFmtId="44" fontId="0" fillId="2" borderId="10" xfId="1" applyFont="1" applyFill="1" applyBorder="1" applyProtection="1">
      <protection locked="0"/>
    </xf>
    <xf numFmtId="0" fontId="15" fillId="0" borderId="0" xfId="0" applyFont="1" applyBorder="1" applyAlignment="1">
      <alignment horizontal="left" vertical="top" indent="1"/>
    </xf>
    <xf numFmtId="0" fontId="0" fillId="0" borderId="0" xfId="0" applyAlignment="1">
      <alignment horizontal="left"/>
    </xf>
    <xf numFmtId="0" fontId="11" fillId="0" borderId="0" xfId="0" applyFont="1" applyBorder="1" applyAlignment="1">
      <alignment horizontal="left" vertical="center" wrapText="1" indent="1"/>
    </xf>
    <xf numFmtId="0" fontId="11" fillId="2" borderId="6" xfId="0" applyFont="1" applyFill="1" applyBorder="1" applyAlignment="1" applyProtection="1">
      <alignment horizontal="center" vertical="center"/>
      <protection locked="0"/>
    </xf>
    <xf numFmtId="44" fontId="0" fillId="2" borderId="6" xfId="1" applyFont="1"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44" fontId="2" fillId="0" borderId="13" xfId="1" applyFont="1" applyBorder="1" applyAlignment="1">
      <alignment horizontal="center"/>
    </xf>
    <xf numFmtId="3" fontId="2" fillId="0" borderId="0" xfId="0" applyNumberFormat="1" applyFont="1" applyAlignment="1">
      <alignment horizontal="left"/>
    </xf>
    <xf numFmtId="0" fontId="2" fillId="0" borderId="0" xfId="0" applyFont="1" applyAlignment="1">
      <alignment horizontal="left"/>
    </xf>
    <xf numFmtId="0" fontId="15" fillId="0" borderId="0" xfId="0" applyFont="1" applyBorder="1" applyAlignment="1">
      <alignment horizontal="left" indent="1"/>
    </xf>
    <xf numFmtId="44" fontId="0" fillId="3" borderId="3" xfId="1" applyFont="1" applyFill="1" applyBorder="1" applyProtection="1"/>
    <xf numFmtId="0" fontId="0" fillId="0" borderId="1" xfId="0" applyBorder="1" applyAlignment="1">
      <alignment horizontal="center"/>
    </xf>
    <xf numFmtId="0" fontId="3" fillId="0" borderId="3" xfId="0" applyFont="1" applyBorder="1" applyAlignment="1">
      <alignment horizontal="right" wrapText="1"/>
    </xf>
    <xf numFmtId="0" fontId="3" fillId="0" borderId="3" xfId="0" applyFont="1" applyBorder="1" applyAlignment="1">
      <alignment horizontal="right"/>
    </xf>
    <xf numFmtId="0" fontId="11" fillId="0" borderId="0" xfId="0" applyFont="1" applyBorder="1" applyAlignment="1">
      <alignment horizontal="left" vertical="center" wrapText="1"/>
    </xf>
    <xf numFmtId="0" fontId="0" fillId="0" borderId="0" xfId="0" applyAlignment="1">
      <alignment horizontal="left"/>
    </xf>
    <xf numFmtId="0" fontId="0" fillId="3" borderId="3" xfId="0" applyFill="1" applyBorder="1" applyAlignment="1">
      <alignment horizontal="left"/>
    </xf>
    <xf numFmtId="0" fontId="0" fillId="0" borderId="0" xfId="0" applyAlignment="1">
      <alignment horizontal="left" wrapText="1"/>
    </xf>
    <xf numFmtId="0" fontId="3" fillId="0" borderId="0" xfId="0" applyFont="1" applyAlignment="1">
      <alignment horizontal="right" vertical="top" wrapText="1"/>
    </xf>
    <xf numFmtId="0" fontId="3" fillId="0" borderId="0" xfId="0" applyFont="1" applyAlignment="1">
      <alignment horizontal="right" vertical="top"/>
    </xf>
    <xf numFmtId="0" fontId="0" fillId="2" borderId="12" xfId="0" applyFill="1" applyBorder="1" applyAlignment="1" applyProtection="1">
      <alignment horizontal="left"/>
      <protection locked="0"/>
    </xf>
    <xf numFmtId="0" fontId="0" fillId="2" borderId="11" xfId="0" applyFill="1" applyBorder="1" applyAlignment="1" applyProtection="1">
      <alignment horizontal="left"/>
      <protection locked="0"/>
    </xf>
    <xf numFmtId="0" fontId="0" fillId="3" borderId="0" xfId="0" applyFill="1" applyAlignment="1">
      <alignment horizontal="center"/>
    </xf>
    <xf numFmtId="0" fontId="13" fillId="3" borderId="0" xfId="2" applyFill="1" applyBorder="1" applyAlignment="1">
      <alignment horizontal="left"/>
    </xf>
    <xf numFmtId="0" fontId="13" fillId="3" borderId="8" xfId="2" applyFill="1" applyBorder="1" applyAlignment="1">
      <alignment horizontal="left"/>
    </xf>
    <xf numFmtId="0" fontId="13" fillId="0" borderId="3" xfId="2" applyFill="1" applyBorder="1" applyAlignment="1">
      <alignment horizontal="left"/>
    </xf>
    <xf numFmtId="0" fontId="13" fillId="0" borderId="9" xfId="2" applyFill="1" applyBorder="1" applyAlignment="1">
      <alignment horizontal="left"/>
    </xf>
    <xf numFmtId="0" fontId="5" fillId="0" borderId="0" xfId="0" applyFont="1" applyAlignment="1">
      <alignment horizontal="left" wrapTex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1209675</xdr:colOff>
      <xdr:row>1</xdr:row>
      <xdr:rowOff>489762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19075"/>
          <a:ext cx="1209675" cy="4897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1209675" cy="489762"/>
    <xdr:pic>
      <xdr:nvPicPr>
        <xdr:cNvPr id="2" name="Picture 1">
          <a:extLst>
            <a:ext uri="{FF2B5EF4-FFF2-40B4-BE49-F238E27FC236}">
              <a16:creationId xmlns:a16="http://schemas.microsoft.com/office/drawing/2014/main" id="{54B4055B-8D1E-D847-8C50-93C8D5BAD8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500" y="215900"/>
          <a:ext cx="1209675" cy="489762"/>
        </a:xfrm>
        <a:prstGeom prst="rect">
          <a:avLst/>
        </a:prstGeom>
      </xdr:spPr>
    </xdr:pic>
    <xdr:clientData/>
  </xdr:oneCellAnchor>
  <xdr:oneCellAnchor>
    <xdr:from>
      <xdr:col>1</xdr:col>
      <xdr:colOff>0</xdr:colOff>
      <xdr:row>1</xdr:row>
      <xdr:rowOff>0</xdr:rowOff>
    </xdr:from>
    <xdr:ext cx="1209675" cy="489762"/>
    <xdr:pic>
      <xdr:nvPicPr>
        <xdr:cNvPr id="3" name="Picture 2">
          <a:extLst>
            <a:ext uri="{FF2B5EF4-FFF2-40B4-BE49-F238E27FC236}">
              <a16:creationId xmlns:a16="http://schemas.microsoft.com/office/drawing/2014/main" id="{833FB9F0-3738-6546-B053-EF2399D2B3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500" y="215900"/>
          <a:ext cx="1209675" cy="48976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1209675" cy="489762"/>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190500"/>
          <a:ext cx="1209675" cy="489762"/>
        </a:xfrm>
        <a:prstGeom prst="rect">
          <a:avLst/>
        </a:prstGeom>
      </xdr:spPr>
    </xdr:pic>
    <xdr:clientData/>
  </xdr:oneCellAnchor>
  <xdr:oneCellAnchor>
    <xdr:from>
      <xdr:col>1</xdr:col>
      <xdr:colOff>0</xdr:colOff>
      <xdr:row>1</xdr:row>
      <xdr:rowOff>0</xdr:rowOff>
    </xdr:from>
    <xdr:ext cx="1209675" cy="489762"/>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190500"/>
          <a:ext cx="1209675" cy="489762"/>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0</xdr:colOff>
      <xdr:row>1</xdr:row>
      <xdr:rowOff>489762</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19075"/>
          <a:ext cx="1209675" cy="4897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1</xdr:row>
      <xdr:rowOff>0</xdr:rowOff>
    </xdr:from>
    <xdr:ext cx="1209675" cy="489762"/>
    <xdr:pic>
      <xdr:nvPicPr>
        <xdr:cNvPr id="2" name="Picture 1">
          <a:extLst>
            <a:ext uri="{FF2B5EF4-FFF2-40B4-BE49-F238E27FC236}">
              <a16:creationId xmlns:a16="http://schemas.microsoft.com/office/drawing/2014/main" id="{09090E88-46DF-C64D-B545-BBE6C56A1F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500" y="215900"/>
          <a:ext cx="1209675" cy="489762"/>
        </a:xfrm>
        <a:prstGeom prst="rect">
          <a:avLst/>
        </a:prstGeom>
      </xdr:spPr>
    </xdr:pic>
    <xdr:clientData/>
  </xdr:oneCellAnchor>
  <xdr:oneCellAnchor>
    <xdr:from>
      <xdr:col>1</xdr:col>
      <xdr:colOff>0</xdr:colOff>
      <xdr:row>1</xdr:row>
      <xdr:rowOff>0</xdr:rowOff>
    </xdr:from>
    <xdr:ext cx="1209675" cy="489762"/>
    <xdr:pic>
      <xdr:nvPicPr>
        <xdr:cNvPr id="3" name="Picture 2">
          <a:extLst>
            <a:ext uri="{FF2B5EF4-FFF2-40B4-BE49-F238E27FC236}">
              <a16:creationId xmlns:a16="http://schemas.microsoft.com/office/drawing/2014/main" id="{E8CC7211-B590-7D48-86CD-1F6219BF86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500" y="215900"/>
          <a:ext cx="1209675" cy="48976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6"/>
  <sheetViews>
    <sheetView showGridLines="0" showRowColHeaders="0" tabSelected="1" showRuler="0" zoomScaleNormal="100" workbookViewId="0"/>
  </sheetViews>
  <sheetFormatPr defaultColWidth="8.85546875" defaultRowHeight="15" x14ac:dyDescent="0.25"/>
  <cols>
    <col min="1" max="1" width="4.140625" customWidth="1"/>
    <col min="2" max="2" width="74.85546875" customWidth="1"/>
    <col min="3" max="3" width="12.85546875" style="5" customWidth="1"/>
    <col min="4" max="4" width="26.42578125" customWidth="1"/>
  </cols>
  <sheetData>
    <row r="1" spans="1:4" ht="17.25" customHeight="1" x14ac:dyDescent="0.25">
      <c r="A1" s="46"/>
    </row>
    <row r="2" spans="1:4" ht="47.25" customHeight="1" x14ac:dyDescent="0.35">
      <c r="B2" s="71" t="s">
        <v>62</v>
      </c>
      <c r="C2" s="72"/>
      <c r="D2" s="72"/>
    </row>
    <row r="3" spans="1:4" ht="8.25" customHeight="1" x14ac:dyDescent="0.25">
      <c r="B3" s="19"/>
      <c r="C3" s="21"/>
      <c r="D3" s="21"/>
    </row>
    <row r="4" spans="1:4" ht="66.75" customHeight="1" x14ac:dyDescent="0.25">
      <c r="B4" s="73" t="s">
        <v>63</v>
      </c>
      <c r="C4" s="73"/>
      <c r="D4" s="73"/>
    </row>
    <row r="5" spans="1:4" ht="21.75" customHeight="1" x14ac:dyDescent="0.25">
      <c r="C5"/>
    </row>
    <row r="6" spans="1:4" ht="27" customHeight="1" x14ac:dyDescent="0.25">
      <c r="B6" s="44" t="s">
        <v>53</v>
      </c>
      <c r="C6"/>
    </row>
    <row r="7" spans="1:4" x14ac:dyDescent="0.25">
      <c r="B7" s="45" t="s">
        <v>56</v>
      </c>
    </row>
    <row r="8" spans="1:4" x14ac:dyDescent="0.25">
      <c r="B8" s="45" t="s">
        <v>55</v>
      </c>
    </row>
    <row r="9" spans="1:4" x14ac:dyDescent="0.25">
      <c r="B9" s="45" t="s">
        <v>54</v>
      </c>
    </row>
    <row r="10" spans="1:4" x14ac:dyDescent="0.25">
      <c r="B10" s="45" t="s">
        <v>57</v>
      </c>
    </row>
    <row r="11" spans="1:4" x14ac:dyDescent="0.25">
      <c r="B11" s="47"/>
    </row>
    <row r="12" spans="1:4" x14ac:dyDescent="0.25">
      <c r="B12" s="47"/>
    </row>
    <row r="13" spans="1:4" x14ac:dyDescent="0.25">
      <c r="B13" s="47"/>
    </row>
    <row r="16" spans="1:4" x14ac:dyDescent="0.25">
      <c r="B16" s="70" t="s">
        <v>14</v>
      </c>
      <c r="C16" s="70"/>
      <c r="D16" s="70"/>
    </row>
  </sheetData>
  <sheetProtection algorithmName="SHA-512" hashValue="y3xWDQxK8wZMmHZbIURVN/QCnTc6+r8rdycWTWy+P0GGrnL4BNOe/kCg464V9BQoDmN75fenCHU8r0n/aJ+aBg==" saltValue="bJQlhyUISPOBq4TctIIp+Q==" spinCount="100000" sheet="1" objects="1" scenarios="1" selectLockedCells="1"/>
  <mergeCells count="3">
    <mergeCell ref="B16:D16"/>
    <mergeCell ref="B2:D2"/>
    <mergeCell ref="B4:D4"/>
  </mergeCells>
  <hyperlinks>
    <hyperlink ref="B8" location="'Data Sci'!A1" display="Data Science - On-Campus Program" xr:uid="{00000000-0004-0000-0000-000000000000}"/>
    <hyperlink ref="B9" location="'Data Sci - Online'!A1" display="Data Science - Online Program" xr:uid="{00000000-0004-0000-0000-000001000000}"/>
    <hyperlink ref="B10" location="'All Other'!A1" display="All other programs" xr:uid="{00000000-0004-0000-0000-000002000000}"/>
    <hyperlink ref="B7" location="'Cyber Sec.'!A1" display="Cyber Security Program" xr:uid="{00000000-0004-0000-0000-000003000000}"/>
  </hyperlinks>
  <pageMargins left="0.5" right="0.5" top="0.5" bottom="0.5" header="0.3" footer="0.3"/>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38"/>
  <sheetViews>
    <sheetView showGridLines="0" showRowColHeaders="0" showRuler="0" zoomScaleNormal="100" workbookViewId="0">
      <selection activeCell="G5" sqref="G5:H5"/>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77" t="s">
        <v>68</v>
      </c>
      <c r="I2" s="78"/>
      <c r="J2" s="78"/>
      <c r="K2" s="78"/>
      <c r="L2" s="78"/>
      <c r="M2" s="78"/>
      <c r="N2" s="78"/>
      <c r="O2" s="78"/>
    </row>
    <row r="3" spans="2:15" ht="8.25" customHeight="1" x14ac:dyDescent="0.25">
      <c r="B3" s="19"/>
      <c r="C3" s="19"/>
      <c r="D3" s="19"/>
      <c r="E3" s="19"/>
      <c r="F3" s="19"/>
      <c r="G3" s="19"/>
      <c r="H3" s="20"/>
      <c r="I3" s="21"/>
      <c r="J3" s="21"/>
      <c r="K3" s="21"/>
      <c r="L3" s="21"/>
      <c r="M3" s="21"/>
      <c r="N3" s="21"/>
      <c r="O3" s="21"/>
    </row>
    <row r="4" spans="2:15" ht="24" customHeight="1" x14ac:dyDescent="0.25">
      <c r="B4" s="61"/>
      <c r="C4" s="68"/>
      <c r="D4" s="61"/>
      <c r="E4" s="61"/>
      <c r="F4" s="61"/>
      <c r="G4" s="61"/>
      <c r="H4" s="61"/>
      <c r="I4" s="61"/>
      <c r="J4" s="61"/>
      <c r="K4" s="61"/>
      <c r="L4" s="61"/>
      <c r="M4" s="61"/>
      <c r="N4" s="61"/>
      <c r="O4" s="61"/>
    </row>
    <row r="5" spans="2:15" ht="19.5" customHeight="1" x14ac:dyDescent="0.3">
      <c r="D5" s="6" t="s">
        <v>50</v>
      </c>
      <c r="G5" s="79"/>
      <c r="H5" s="80"/>
      <c r="J5" s="49"/>
      <c r="L5" s="49"/>
      <c r="N5" s="49"/>
    </row>
    <row r="6" spans="2:15" ht="19.5" customHeight="1" x14ac:dyDescent="0.25">
      <c r="J6" s="49"/>
      <c r="L6" s="49"/>
      <c r="N6" s="49"/>
    </row>
    <row r="7" spans="2:15" ht="19.5" customHeight="1" x14ac:dyDescent="0.25">
      <c r="J7" s="49" t="s">
        <v>69</v>
      </c>
      <c r="L7" s="49" t="s">
        <v>70</v>
      </c>
      <c r="N7" s="49" t="s">
        <v>71</v>
      </c>
    </row>
    <row r="8" spans="2:15" ht="18" customHeight="1" x14ac:dyDescent="0.3">
      <c r="D8" s="6" t="s">
        <v>15</v>
      </c>
      <c r="E8" s="28"/>
      <c r="F8" s="28"/>
      <c r="G8" s="28"/>
      <c r="H8" s="28"/>
      <c r="I8" s="28"/>
      <c r="J8" s="48"/>
      <c r="L8" s="48"/>
      <c r="M8" s="22"/>
      <c r="N8" s="48"/>
      <c r="O8" s="28"/>
    </row>
    <row r="9" spans="2:15" ht="6" customHeight="1" x14ac:dyDescent="0.25"/>
    <row r="10" spans="2:15" ht="15.75" thickBot="1" x14ac:dyDescent="0.3">
      <c r="B10" s="1" t="s">
        <v>7</v>
      </c>
      <c r="C10" s="1"/>
      <c r="D10" s="2"/>
      <c r="E10" s="2"/>
      <c r="F10" s="2"/>
      <c r="G10" s="2"/>
      <c r="H10" s="4" t="s">
        <v>3</v>
      </c>
      <c r="I10" s="3"/>
      <c r="J10" s="4" t="s">
        <v>72</v>
      </c>
      <c r="K10" s="3"/>
      <c r="L10" s="4" t="s">
        <v>73</v>
      </c>
      <c r="M10" s="4"/>
      <c r="N10" s="4" t="s">
        <v>74</v>
      </c>
      <c r="O10" s="2"/>
    </row>
    <row r="11" spans="2:15" ht="9" customHeight="1" x14ac:dyDescent="0.25"/>
    <row r="12" spans="2:15" ht="21.75" customHeight="1" x14ac:dyDescent="0.25">
      <c r="B12" s="9" t="s">
        <v>1</v>
      </c>
      <c r="C12" s="9"/>
      <c r="D12" s="81"/>
      <c r="E12" s="81"/>
      <c r="F12" s="10"/>
      <c r="G12" s="10"/>
      <c r="H12" s="11" t="e">
        <f>J12+L12+N12</f>
        <v>#N/A</v>
      </c>
      <c r="I12" s="10"/>
      <c r="J12" s="11" t="e">
        <f>IF(G5="2020 Fall Quarter or Later",(VLOOKUP(J8,Data!F24:G43,2,FALSE)),(VLOOKUP(J8,Data!A2:B21,2,FALSE)))</f>
        <v>#N/A</v>
      </c>
      <c r="K12" s="10"/>
      <c r="L12" s="11" t="e">
        <f>IF(G5="2020 Fall Quarter or Later",(VLOOKUP(L8,Data!F24:G43,2,FALSE)),(VLOOKUP(L8,Data!A2:B21,2,FALSE)))</f>
        <v>#N/A</v>
      </c>
      <c r="M12" s="11"/>
      <c r="N12" s="11" t="e">
        <f>IF(G5="2020 Fall Quarter or Later",(VLOOKUP(N8,Data!F24:G43,2,FALSE)),(VLOOKUP(N8,Data!A2:B21,2,FALSE)))</f>
        <v>#N/A</v>
      </c>
      <c r="O12" s="10"/>
    </row>
    <row r="13" spans="2:15" ht="21.75" customHeight="1" x14ac:dyDescent="0.25">
      <c r="B13" s="60" t="s">
        <v>0</v>
      </c>
      <c r="C13" s="60"/>
    </row>
    <row r="14" spans="2:15" ht="21.75" customHeight="1" x14ac:dyDescent="0.25">
      <c r="B14" s="12" t="s">
        <v>2</v>
      </c>
      <c r="C14" s="12"/>
      <c r="D14" s="10"/>
      <c r="E14" s="10"/>
      <c r="F14" s="10"/>
      <c r="G14" s="10"/>
      <c r="H14" s="11" t="e">
        <f>J14+L14+N14</f>
        <v>#N/A</v>
      </c>
      <c r="I14" s="10"/>
      <c r="J14" s="11" t="e">
        <f>IF(G5="2020 Fall Quarter or Later",(VLOOKUP(J8,Data!F24:H43,3,FALSE)),(VLOOKUP(J8,Data!A2:C21,3,FALSE)))</f>
        <v>#N/A</v>
      </c>
      <c r="K14" s="10"/>
      <c r="L14" s="11" t="e">
        <f>IF(G5="2020 Fall Quarter or Later",(VLOOKUP(L8,Data!F24:H43,3,FALSE)),(VLOOKUP(L8,Data!A2:C21,3,FALSE)))</f>
        <v>#N/A</v>
      </c>
      <c r="M14" s="11"/>
      <c r="N14" s="11" t="e">
        <f>IF(G5="2020 Fall Quarter or Later",(VLOOKUP(N8,Data!F24:H43,3,FALSE)),(VLOOKUP(N8,Data!A2:C21,3,FALSE)))</f>
        <v>#N/A</v>
      </c>
      <c r="O14" s="10"/>
    </row>
    <row r="15" spans="2:15" ht="21.75" customHeight="1" x14ac:dyDescent="0.25">
      <c r="B15" s="41" t="s">
        <v>17</v>
      </c>
      <c r="C15" s="41"/>
      <c r="H15" s="5" t="e">
        <f>J15+L15+N15</f>
        <v>#N/A</v>
      </c>
      <c r="J15" s="5" t="e">
        <f>IF(J8&lt;&gt;"not enrolled",(VLOOKUP(J8,Data!A2:D21,4,FALSE)),0)</f>
        <v>#N/A</v>
      </c>
      <c r="L15" s="5" t="e">
        <f>IF(L8&lt;&gt;"not enrolled",(VLOOKUP(L8,Data!A2:D21,4,FALSE)),0)</f>
        <v>#N/A</v>
      </c>
      <c r="N15" s="5" t="e">
        <f>IF(N8&lt;&gt;"not enrolled",(VLOOKUP(N8,Data!A2:D21,4,FALSE)),0)</f>
        <v>#N/A</v>
      </c>
    </row>
    <row r="16" spans="2:15" ht="21.75" customHeight="1" x14ac:dyDescent="0.25">
      <c r="B16" s="82" t="s">
        <v>48</v>
      </c>
      <c r="C16" s="82"/>
      <c r="D16" s="82"/>
      <c r="E16" s="83"/>
      <c r="F16" s="31"/>
      <c r="G16" s="29"/>
      <c r="H16" s="30">
        <f>J16+L16+N16</f>
        <v>0</v>
      </c>
      <c r="I16" s="29"/>
      <c r="J16" s="30">
        <f>IF(AND(F16="Yes", J8&lt;&gt;"not enrolled"), (VLOOKUP(F16, Data!A24:C25, 2, FALSE)), 0)</f>
        <v>0</v>
      </c>
      <c r="K16" s="29"/>
      <c r="L16" s="30">
        <v>0</v>
      </c>
      <c r="M16" s="30"/>
      <c r="N16" s="30">
        <f>IF(AND(F16="Yes", N8&lt;&gt;"not enrolled"), (VLOOKUP(F16, Data!A24:C25, 2, FALSE)), 0)</f>
        <v>0</v>
      </c>
      <c r="O16" s="29"/>
    </row>
    <row r="17" spans="2:15" s="25" customFormat="1" ht="21.75" customHeight="1" x14ac:dyDescent="0.25">
      <c r="B17" s="84" t="s">
        <v>47</v>
      </c>
      <c r="C17" s="84"/>
      <c r="D17" s="84"/>
      <c r="E17" s="85"/>
      <c r="F17" s="50"/>
      <c r="G17" s="32"/>
      <c r="H17" s="33">
        <f>J17+L17+N17</f>
        <v>0</v>
      </c>
      <c r="I17" s="32"/>
      <c r="J17" s="33">
        <f>IF(AND(F17="Yes", J8&lt;&gt;"not enrolled",J8&lt;&gt;"4 credits",J8&lt;&gt;"5 credits"), (VLOOKUP(F17,Data!A24:C25, 3, FALSE)), 0)</f>
        <v>0</v>
      </c>
      <c r="K17" s="32"/>
      <c r="L17" s="33">
        <f>IF(AND(F17="Yes", L8&lt;&gt;"not enrolled",L8&lt;&gt;"4 credits",L8&lt;&gt;"5 credits"), (VLOOKUP(F17, Data!A24:C25, 3, FALSE)), 0)</f>
        <v>0</v>
      </c>
      <c r="M17" s="33"/>
      <c r="N17" s="33">
        <f>IF(AND(F17="Yes", N8&lt;&gt;"not enrolled",N8&lt;&gt;"4 credits",N8&lt;&gt;"5 credits"), (VLOOKUP(F17, Data!A24:C25, 3, FALSE)), 0)</f>
        <v>0</v>
      </c>
      <c r="O17" s="32"/>
    </row>
    <row r="18" spans="2:15" ht="21.75" customHeight="1" x14ac:dyDescent="0.25">
      <c r="D18" s="7" t="s">
        <v>6</v>
      </c>
      <c r="H18" s="8" t="e">
        <f>SUM(H12, H14:H17)</f>
        <v>#N/A</v>
      </c>
      <c r="J18" s="8" t="e">
        <f>SUM(J12,J14:J17)</f>
        <v>#N/A</v>
      </c>
      <c r="L18" s="8" t="e">
        <f>SUM(L12,L14:L17)</f>
        <v>#N/A</v>
      </c>
      <c r="M18" s="8"/>
      <c r="N18" s="8" t="e">
        <f>SUM(N12,N14:N17)</f>
        <v>#N/A</v>
      </c>
    </row>
    <row r="19" spans="2:15" ht="24" customHeight="1" x14ac:dyDescent="0.25"/>
    <row r="20" spans="2:15" ht="15.75" thickBot="1" x14ac:dyDescent="0.3">
      <c r="B20" s="1" t="s">
        <v>11</v>
      </c>
      <c r="C20" s="1"/>
      <c r="D20" s="2"/>
      <c r="E20" s="2"/>
      <c r="F20" s="2"/>
      <c r="G20" s="2"/>
      <c r="H20" s="4" t="s">
        <v>3</v>
      </c>
      <c r="I20" s="3"/>
      <c r="J20" s="4" t="s">
        <v>72</v>
      </c>
      <c r="K20" s="3"/>
      <c r="L20" s="4" t="s">
        <v>73</v>
      </c>
      <c r="M20" s="4"/>
      <c r="N20" s="4" t="s">
        <v>74</v>
      </c>
      <c r="O20" s="2"/>
    </row>
    <row r="21" spans="2:15" ht="21.75" customHeight="1" x14ac:dyDescent="0.25">
      <c r="B21" t="s">
        <v>16</v>
      </c>
      <c r="H21" s="15"/>
      <c r="J21" s="5">
        <f>IF((AND(J8&lt;&gt;"not enrolled", L8&lt;&gt;"not enrolled", N8&lt;&gt;"not enrolled")), (H21/3), IF((AND(J8&lt;&gt;"not enrolled", L8&lt;&gt;"not enrolled", N8="not enrolled")), (H21/2), IF((AND(J8&lt;&gt;"not enrolled", L8="not enrolled", N8="not enrolled")), (H21/1), 0)))</f>
        <v>0</v>
      </c>
      <c r="L21" s="5">
        <f>IF((AND(J8&lt;&gt;"not enrolled", L8&lt;&gt;"not enrolled", N8&lt;&gt;"not enrolled")), (H21/3), IF((AND(J8&lt;&gt;"not enrolled", L8&lt;&gt;"not enrolled", N8="not enrolled")), (H21/2), IF((AND(J8="not enrolled", L8&lt;&gt;"not enrolled", N8&lt;&gt;"not enrolled")), (H21/2), 0)))</f>
        <v>0</v>
      </c>
      <c r="N21" s="5">
        <f>IF((AND(J8&lt;&gt;"not enrolled", L8&lt;&gt;"not enrolled", N8&lt;&gt;"not enrolled")), (H21/3), IF((AND(J8="not enrolled", L8&lt;&gt;"not enrolled", N8&lt;&gt;"not enrolled")), (H21/2), IF((AND(J8="not enrolled", L8="not enrolled", N8&lt;&gt;"not enrolled")), (H21), 0)))</f>
        <v>0</v>
      </c>
    </row>
    <row r="22" spans="2:15" ht="21.75" customHeight="1" x14ac:dyDescent="0.25">
      <c r="B22" s="10" t="s">
        <v>8</v>
      </c>
      <c r="C22" s="10"/>
      <c r="D22" s="10"/>
      <c r="E22" s="10"/>
      <c r="F22" s="10"/>
      <c r="G22" s="10"/>
      <c r="H22" s="16"/>
      <c r="I22" s="10"/>
      <c r="J22" s="11">
        <f>IF((AND(J8&lt;&gt;"not enrolled", L8&lt;&gt;"not enrolled", N8&lt;&gt;"not enrolled")), (H22/3), IF((AND(J8&lt;&gt;"not enrolled", L8&lt;&gt;"not enrolled", N8="not enrolled")), (H22/2), IF((AND(J8&lt;&gt;"not enrolled", L8="not enrolled", N8="not enrolled")), (H22/1), 0)))</f>
        <v>0</v>
      </c>
      <c r="K22" s="10"/>
      <c r="L22" s="11">
        <f>IF((AND(J8&lt;&gt;"not enrolled", L8&lt;&gt;"not enrolled", N8&lt;&gt;"not enrolled")), (H22/3), IF((AND(J8&lt;&gt;"not enrolled", L8&lt;&gt;"not enrolled", N8="not enrolled")), (H22/2), IF((AND(J8="not enrolled", L8&lt;&gt;"not enrolled", N8&lt;&gt;"not enrolled")), (H22/2), 0)))</f>
        <v>0</v>
      </c>
      <c r="M22" s="11"/>
      <c r="N22" s="11">
        <f>IF((AND(J8&lt;&gt;"not enrolled", L8&lt;&gt;"not enrolled", N8&lt;&gt;"not enrolled")), (H22/3), IF((AND(J8="not enrolled", L8&lt;&gt;"not enrolled", N8&lt;&gt;"not enrolled")), (H22/2), IF((AND(J8="not enrolled", L8="not enrolled", N8&lt;&gt;"not enrolled")), (H22), 0)))</f>
        <v>0</v>
      </c>
      <c r="O22" s="10"/>
    </row>
    <row r="23" spans="2:15" ht="21.75" customHeight="1" x14ac:dyDescent="0.25">
      <c r="B23" t="s">
        <v>19</v>
      </c>
      <c r="F23" s="17"/>
      <c r="H23" s="5">
        <f>SUM(J23,L23,N23)</f>
        <v>0</v>
      </c>
      <c r="J23" s="5">
        <f>IF((AND(J8&lt;&gt;"not enrolled", L8&lt;&gt;"not enrolled", N8&lt;&gt;"not enrolled")), ROUND(((F23-(F23*0.01057))/3),0), IF((AND(J8&lt;&gt;"not enrolled", L8&lt;&gt;"not enrolled", N8="not enrolled")), ROUND(((F23-(F23*0.01057))/2),0), IF((AND(J8&lt;&gt;"not enrolled", L8="not enrolled", N8="not enrolled")), ROUND(((F23-(F23*0.01057))/1),0), 0)))</f>
        <v>0</v>
      </c>
      <c r="L23" s="5">
        <f>IF((AND(J8&lt;&gt;"not enrolled", L8&lt;&gt;"not enrolled", N8&lt;&gt;"not enrolled")), ROUND(((F23-(F23*0.01057))/3),0), IF((AND(J8&lt;&gt;"not enrolled", L8&lt;&gt;"not enrolled", N8="not enrolled")), ROUND(((F23-(F23*0.01057))/2),0), IF((AND(J8="not enrolled", L8&lt;&gt;"not enrolled", N8&lt;&gt;"not enrolled")), ROUND(((F23-(F23*0.01057))/2),0), 0)))</f>
        <v>0</v>
      </c>
      <c r="N23" s="5">
        <f>IF((AND(J8&lt;&gt;"not enrolled", L8&lt;&gt;"not enrolled", N8&lt;&gt;"not enrolled")), ROUND(((F23-(F23*0.01057))/3),0), IF((AND(J8="not enrolled", L8&lt;&gt;"not enrolled", N8&lt;&gt;"not enrolled")), ROUND(((F23-(F23*0.01057))/2),0), IF((AND(J8="not enrolled", L8="not enrolled", N8&lt;&gt;"not enrolled")), ROUND(((F23-(F23*0.01057))/1),0), 0)))</f>
        <v>0</v>
      </c>
    </row>
    <row r="24" spans="2:15" ht="21.75" customHeight="1" x14ac:dyDescent="0.25">
      <c r="B24" s="10" t="s">
        <v>20</v>
      </c>
      <c r="C24" s="10"/>
      <c r="D24" s="10"/>
      <c r="E24" s="10"/>
      <c r="F24" s="17"/>
      <c r="G24" s="10"/>
      <c r="H24" s="11">
        <f>SUM(J24,L24,N24)</f>
        <v>0</v>
      </c>
      <c r="I24" s="10"/>
      <c r="J24" s="11">
        <f>IF((AND(J8&lt;&gt;"not enrolled", L8&lt;&gt;"not enrolled", N8&lt;&gt;"not enrolled")), ROUND(((F24-(F24*0.04228))/3),0), IF((AND(J8&lt;&gt;"not enrolled", L8&lt;&gt;"not enrolled", N8="not enrolled")), ROUND(((F24-(F24*0.04228))/2),0), IF((AND(J8&lt;&gt;"not enrolled", L8="not enrolled", N8="not enrolled")), ROUND(((F24-(F24*0.04228))/1),0), 0)))</f>
        <v>0</v>
      </c>
      <c r="K24" s="10"/>
      <c r="L24" s="11">
        <f>IF((AND(J8&lt;&gt;"not enrolled", L8&lt;&gt;"not enrolled", N8&lt;&gt;"not enrolled")), ROUND(((F24-(F24*0.04228))/3),0), IF((AND(J8&lt;&gt;"not enrolled", L8&lt;&gt;"not enrolled", N8="not enrolled")), ROUND(((F24-(F24*0.04228))/2),0), IF((AND(J8="not enrolled", L8&lt;&gt;"not enrolled", N8&lt;&gt;"not enrolled")), ROUND(((F24-(F24*0.04228))/2),0), 0)))</f>
        <v>0</v>
      </c>
      <c r="M24" s="11"/>
      <c r="N24" s="11">
        <f>IF((AND(J8&lt;&gt;"not enrolled", L8&lt;&gt;"not enrolled", N8&lt;&gt;"not enrolled")), ROUND(((F24-(F24*0.04228))/3),0), IF((AND(J8="not enrolled", L8&lt;&gt;"not enrolled", N8&lt;&gt;"not enrolled")), ROUND(((F24-(F24*0.04228))/2),0), IF((AND(J8="not enrolled", L8="not enrolled", N8&lt;&gt;"not enrolled")), ROUND(((F24-(F24*0.04228))/1),0), 0)))</f>
        <v>0</v>
      </c>
      <c r="O24" s="10"/>
    </row>
    <row r="25" spans="2:15" ht="21.75" customHeight="1" x14ac:dyDescent="0.25">
      <c r="B25" s="74" t="s">
        <v>23</v>
      </c>
      <c r="C25" s="74"/>
      <c r="D25" s="74"/>
      <c r="E25" s="74"/>
      <c r="F25" s="74"/>
      <c r="H25" s="16"/>
      <c r="J25" s="5">
        <f>IF((AND(J8&lt;&gt;"not enrolled", L8&lt;&gt;"not enrolled", N8&lt;&gt;"not enrolled")), (H25/3), IF((AND(J8&lt;&gt;"not enrolled", L8&lt;&gt;"not enrolled", N8="not enrolled")), (H25/2), IF((AND(J8&lt;&gt;"not enrolled", L8="not enrolled", N8="not enrolled")), (H25/1), 0)))</f>
        <v>0</v>
      </c>
      <c r="L25" s="5">
        <f>IF((AND(J8&lt;&gt;"not enrolled", L8&lt;&gt;"not enrolled", N8&lt;&gt;"not enrolled")), (H25/3), IF((AND(J8&lt;&gt;"not enrolled", L8&lt;&gt;"not enrolled", N8="not enrolled")), (H25/2), IF((AND(J8="not enrolled", L8&lt;&gt;"not enrolled", N8&lt;&gt;"not enrolled")), (H25/2), 0)))</f>
        <v>0</v>
      </c>
      <c r="N25" s="5">
        <f>IF((AND(J8&lt;&gt;"not enrolled", L8&lt;&gt;"not enrolled", N8&lt;&gt;"not enrolled")), (H25/3), IF((AND(J8="not enrolled", L8&lt;&gt;"not enrolled", N8&lt;&gt;"not enrolled")), (H25/2), IF((AND(J8="not enrolled", L8="not enrolled", N8&lt;&gt;"not enrolled")), (H25), 0)))</f>
        <v>0</v>
      </c>
    </row>
    <row r="26" spans="2:15" ht="21.75" customHeight="1" x14ac:dyDescent="0.25">
      <c r="B26" s="75" t="s">
        <v>24</v>
      </c>
      <c r="C26" s="75"/>
      <c r="D26" s="75"/>
      <c r="E26" s="75"/>
      <c r="F26" s="75"/>
      <c r="G26" s="75"/>
      <c r="H26" s="27">
        <f>J26+L26+N26</f>
        <v>0</v>
      </c>
      <c r="I26" s="26"/>
      <c r="J26" s="18"/>
      <c r="K26" s="26"/>
      <c r="L26" s="18"/>
      <c r="M26" s="34"/>
      <c r="N26" s="58"/>
      <c r="O26" s="26"/>
    </row>
    <row r="27" spans="2:15" ht="21.75" customHeight="1" x14ac:dyDescent="0.25">
      <c r="D27" s="7" t="s">
        <v>10</v>
      </c>
      <c r="H27" s="5">
        <f>SUM(H21:H26)</f>
        <v>0</v>
      </c>
      <c r="J27" s="5">
        <f>SUM(J21:J26)</f>
        <v>0</v>
      </c>
      <c r="L27" s="5">
        <f>SUM(L21:L25,L26)</f>
        <v>0</v>
      </c>
      <c r="N27" s="5">
        <f>SUM(N21:N25,N26)</f>
        <v>0</v>
      </c>
    </row>
    <row r="28" spans="2:15" ht="15.75" thickBot="1" x14ac:dyDescent="0.3"/>
    <row r="29" spans="2:15" ht="21.75" customHeight="1" thickTop="1" thickBot="1" x14ac:dyDescent="0.35">
      <c r="B29" s="14" t="s">
        <v>12</v>
      </c>
      <c r="C29" s="14"/>
      <c r="D29" s="13"/>
      <c r="E29" s="13"/>
      <c r="F29" s="13"/>
      <c r="G29" s="13"/>
      <c r="H29" s="23" t="e">
        <f>H18-H27</f>
        <v>#N/A</v>
      </c>
      <c r="I29" s="24"/>
      <c r="J29" s="23" t="e">
        <f>J18-J27</f>
        <v>#N/A</v>
      </c>
      <c r="K29" s="24"/>
      <c r="L29" s="23" t="e">
        <f>L18-L27</f>
        <v>#N/A</v>
      </c>
      <c r="M29" s="23"/>
      <c r="N29" s="23" t="e">
        <f>N18-N27</f>
        <v>#N/A</v>
      </c>
      <c r="O29" s="13"/>
    </row>
    <row r="30" spans="2:15" ht="15.75" thickTop="1" x14ac:dyDescent="0.25"/>
    <row r="31" spans="2:15" x14ac:dyDescent="0.25">
      <c r="B31" s="7" t="s">
        <v>13</v>
      </c>
      <c r="C31" s="7"/>
    </row>
    <row r="32" spans="2:15" ht="21.75" customHeight="1" x14ac:dyDescent="0.25">
      <c r="B32" s="57">
        <v>1</v>
      </c>
      <c r="C32" s="55" t="str">
        <f>IF(G5="2020 Fall Quarter or Later",Data!A47,Data!A50)</f>
        <v>Tuition for the 2022-2023 academic year is $1,535 per credit. If enrolled in 12-18 credits, tuition will be charged a flat rate of $18,420.</v>
      </c>
      <c r="D32" s="56"/>
      <c r="E32" s="56"/>
      <c r="F32" s="56"/>
      <c r="G32" s="56"/>
      <c r="H32" s="56"/>
      <c r="I32" s="56"/>
      <c r="J32" s="56"/>
      <c r="K32" s="56"/>
      <c r="L32" s="56"/>
      <c r="M32" s="56"/>
      <c r="N32" s="56"/>
      <c r="O32" s="56"/>
    </row>
    <row r="33" spans="2:15" ht="18" customHeight="1" x14ac:dyDescent="0.25">
      <c r="B33" s="54">
        <v>2</v>
      </c>
      <c r="C33" s="55" t="s">
        <v>49</v>
      </c>
      <c r="D33" s="55"/>
      <c r="E33" s="55"/>
      <c r="F33" s="55"/>
      <c r="G33" s="55"/>
      <c r="H33" s="55"/>
      <c r="I33" s="55"/>
      <c r="J33" s="55"/>
      <c r="K33" s="55"/>
      <c r="L33" s="55"/>
      <c r="M33" s="55"/>
      <c r="N33" s="55"/>
      <c r="O33" s="55"/>
    </row>
    <row r="34" spans="2:15" ht="18" customHeight="1" x14ac:dyDescent="0.25">
      <c r="B34" s="54">
        <v>3</v>
      </c>
      <c r="C34" t="s">
        <v>58</v>
      </c>
    </row>
    <row r="35" spans="2:15" ht="46.5" customHeight="1" x14ac:dyDescent="0.25">
      <c r="B35" s="53">
        <v>4</v>
      </c>
      <c r="C35" s="76" t="s">
        <v>59</v>
      </c>
      <c r="D35" s="76"/>
      <c r="E35" s="76"/>
      <c r="F35" s="76"/>
      <c r="G35" s="76"/>
      <c r="H35" s="76"/>
      <c r="I35" s="76"/>
      <c r="J35" s="76"/>
      <c r="K35" s="76"/>
      <c r="L35" s="76"/>
      <c r="M35" s="76"/>
      <c r="N35" s="76"/>
      <c r="O35" s="76"/>
    </row>
    <row r="36" spans="2:15" ht="21.75" customHeight="1" x14ac:dyDescent="0.25"/>
    <row r="38" spans="2:15" x14ac:dyDescent="0.25">
      <c r="B38" s="70" t="s">
        <v>14</v>
      </c>
      <c r="C38" s="70"/>
      <c r="D38" s="70"/>
      <c r="E38" s="70"/>
      <c r="F38" s="70"/>
      <c r="G38" s="70"/>
      <c r="H38" s="70"/>
      <c r="I38" s="70"/>
      <c r="J38" s="70"/>
      <c r="K38" s="70"/>
      <c r="L38" s="70"/>
      <c r="M38" s="70"/>
      <c r="N38" s="70"/>
      <c r="O38" s="70"/>
    </row>
  </sheetData>
  <sheetProtection algorithmName="SHA-512" hashValue="ZOXhSJ15YptzHzmlwgw5iPhzlcW1TOTMZKtit8sB0V0U3DCGzCwrz5kGXIYtqPxv9ckFhqwoR4CWHPz+fUtzBw==" saltValue="Pix1clyptBx9ClFMQubkAQ==" spinCount="100000" sheet="1" objects="1" scenarios="1" selectLockedCells="1"/>
  <mergeCells count="9">
    <mergeCell ref="B25:F25"/>
    <mergeCell ref="B26:G26"/>
    <mergeCell ref="C35:O35"/>
    <mergeCell ref="B38:O38"/>
    <mergeCell ref="H2:O2"/>
    <mergeCell ref="G5:H5"/>
    <mergeCell ref="D12:E12"/>
    <mergeCell ref="B16:E16"/>
    <mergeCell ref="B17:E17"/>
  </mergeCells>
  <hyperlinks>
    <hyperlink ref="B16" r:id="rId1" display="Will you enroll in DU's health insurance plan?" xr:uid="{00000000-0004-0000-0100-000000000000}"/>
    <hyperlink ref="B17" r:id="rId2" display="Will you use DU Health &amp; Counseling Services? " xr:uid="{00000000-0004-0000-01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Data!$A$27:$A$28</xm:f>
          </x14:formula1>
          <xm:sqref>G5:H5</xm:sqref>
        </x14:dataValidation>
        <x14:dataValidation type="list" allowBlank="1" showInputMessage="1" showErrorMessage="1" xr:uid="{00000000-0002-0000-0100-000001000000}">
          <x14:formula1>
            <xm:f>Data!$A$24:$A$25</xm:f>
          </x14:formula1>
          <xm:sqref>F16:F17</xm:sqref>
        </x14:dataValidation>
        <x14:dataValidation type="list" allowBlank="1" showInputMessage="1" showErrorMessage="1" xr:uid="{00000000-0002-0000-0100-000002000000}">
          <x14:formula1>
            <xm:f>Data!$A$2:$A$21</xm:f>
          </x14:formula1>
          <xm:sqref>L8 J8 N8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36"/>
  <sheetViews>
    <sheetView showGridLines="0" showRowColHeaders="0" showRuler="0" zoomScaleNormal="100" workbookViewId="0">
      <selection activeCell="J6" sqref="J6"/>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77" t="s">
        <v>75</v>
      </c>
      <c r="I2" s="78"/>
      <c r="J2" s="78"/>
      <c r="K2" s="78"/>
      <c r="L2" s="78"/>
      <c r="M2" s="78"/>
      <c r="N2" s="78"/>
      <c r="O2" s="78"/>
    </row>
    <row r="3" spans="2:15" ht="8.25" customHeight="1" x14ac:dyDescent="0.25">
      <c r="B3" s="19"/>
      <c r="C3" s="19"/>
      <c r="D3" s="19"/>
      <c r="E3" s="19"/>
      <c r="F3" s="19"/>
      <c r="G3" s="19"/>
      <c r="H3" s="20"/>
      <c r="I3" s="21"/>
      <c r="J3" s="21"/>
      <c r="K3" s="21"/>
      <c r="L3" s="21"/>
      <c r="M3" s="21"/>
      <c r="N3" s="21"/>
      <c r="O3" s="21"/>
    </row>
    <row r="4" spans="2:15" ht="24" customHeight="1" x14ac:dyDescent="0.25">
      <c r="B4" s="51"/>
      <c r="C4" s="59"/>
      <c r="D4" s="51"/>
      <c r="E4" s="51"/>
      <c r="F4" s="51"/>
      <c r="G4" s="51"/>
      <c r="H4" s="51"/>
      <c r="I4" s="51"/>
      <c r="J4" s="51"/>
      <c r="K4" s="51"/>
      <c r="L4" s="51"/>
      <c r="M4" s="51"/>
      <c r="N4" s="51"/>
      <c r="O4" s="51"/>
    </row>
    <row r="5" spans="2:15" ht="19.5" customHeight="1" x14ac:dyDescent="0.25">
      <c r="J5" s="49" t="s">
        <v>69</v>
      </c>
      <c r="L5" s="49" t="s">
        <v>70</v>
      </c>
      <c r="N5" s="49" t="s">
        <v>71</v>
      </c>
    </row>
    <row r="6" spans="2:15" ht="18" customHeight="1" x14ac:dyDescent="0.3">
      <c r="D6" s="6" t="s">
        <v>15</v>
      </c>
      <c r="E6" s="28"/>
      <c r="F6" s="28"/>
      <c r="G6" s="28"/>
      <c r="H6" s="28"/>
      <c r="I6" s="28"/>
      <c r="J6" s="48"/>
      <c r="L6" s="48"/>
      <c r="M6" s="22"/>
      <c r="N6" s="48"/>
      <c r="O6" s="28"/>
    </row>
    <row r="7" spans="2:15" ht="6" customHeight="1" x14ac:dyDescent="0.25"/>
    <row r="8" spans="2:15" ht="15.75" thickBot="1" x14ac:dyDescent="0.3">
      <c r="B8" s="1" t="s">
        <v>7</v>
      </c>
      <c r="C8" s="1"/>
      <c r="D8" s="2"/>
      <c r="E8" s="2"/>
      <c r="F8" s="2"/>
      <c r="G8" s="2"/>
      <c r="H8" s="4" t="s">
        <v>3</v>
      </c>
      <c r="I8" s="3"/>
      <c r="J8" s="4" t="s">
        <v>72</v>
      </c>
      <c r="K8" s="3"/>
      <c r="L8" s="4" t="s">
        <v>73</v>
      </c>
      <c r="M8" s="4"/>
      <c r="N8" s="4" t="s">
        <v>74</v>
      </c>
      <c r="O8" s="2"/>
    </row>
    <row r="9" spans="2:15" ht="9" customHeight="1" x14ac:dyDescent="0.25"/>
    <row r="10" spans="2:15" ht="21.75" customHeight="1" x14ac:dyDescent="0.25">
      <c r="B10" s="9" t="s">
        <v>1</v>
      </c>
      <c r="C10" s="9"/>
      <c r="D10" s="81"/>
      <c r="E10" s="81"/>
      <c r="F10" s="10"/>
      <c r="G10" s="10"/>
      <c r="H10" s="11" t="e">
        <f>J10+L10+N10</f>
        <v>#N/A</v>
      </c>
      <c r="I10" s="10"/>
      <c r="J10" s="11" t="e">
        <f>VLOOKUP(J6,Data!F2:G21,2,FALSE)</f>
        <v>#N/A</v>
      </c>
      <c r="K10" s="10"/>
      <c r="L10" s="11" t="e">
        <f>VLOOKUP(L6,Data!F2:G21,2,FALSE)</f>
        <v>#N/A</v>
      </c>
      <c r="M10" s="11"/>
      <c r="N10" s="11" t="e">
        <f>VLOOKUP(N6,Data!F2:G21,2,FALSE)</f>
        <v>#N/A</v>
      </c>
      <c r="O10" s="10"/>
    </row>
    <row r="11" spans="2:15" ht="21.75" customHeight="1" x14ac:dyDescent="0.25">
      <c r="B11" s="52" t="s">
        <v>0</v>
      </c>
      <c r="C11" s="52"/>
    </row>
    <row r="12" spans="2:15" ht="21.75" customHeight="1" x14ac:dyDescent="0.25">
      <c r="B12" s="12" t="s">
        <v>2</v>
      </c>
      <c r="C12" s="12"/>
      <c r="D12" s="10"/>
      <c r="E12" s="10"/>
      <c r="F12" s="10"/>
      <c r="G12" s="10"/>
      <c r="H12" s="11" t="e">
        <f>J12+L12+N12</f>
        <v>#N/A</v>
      </c>
      <c r="I12" s="10"/>
      <c r="J12" s="11" t="e">
        <f>VLOOKUP(J6,Data!F2:H21,3,FALSE)</f>
        <v>#N/A</v>
      </c>
      <c r="K12" s="10"/>
      <c r="L12" s="11" t="e">
        <f>VLOOKUP(L6,Data!F2:H21,3,FALSE)</f>
        <v>#N/A</v>
      </c>
      <c r="M12" s="11"/>
      <c r="N12" s="11" t="e">
        <f>VLOOKUP(N6,Data!F2:H21,3,FALSE)</f>
        <v>#N/A</v>
      </c>
      <c r="O12" s="10"/>
    </row>
    <row r="13" spans="2:15" ht="21.75" customHeight="1" x14ac:dyDescent="0.25">
      <c r="B13" s="41" t="s">
        <v>17</v>
      </c>
      <c r="C13" s="41"/>
      <c r="H13" s="5" t="e">
        <f>J13+L13+N13</f>
        <v>#N/A</v>
      </c>
      <c r="J13" s="5" t="e">
        <f>IF(J6&lt;&gt;"not enrolled",(VLOOKUP(J6,Data!A2:D21,4,FALSE)),0)</f>
        <v>#N/A</v>
      </c>
      <c r="L13" s="5" t="e">
        <f>IF(L6&lt;&gt;"not enrolled",(VLOOKUP(L6,Data!A2:D21,4,FALSE)),0)</f>
        <v>#N/A</v>
      </c>
      <c r="N13" s="5" t="e">
        <f>IF(N6&lt;&gt;"not enrolled",(VLOOKUP(N6,Data!A2:D21,4,FALSE)),0)</f>
        <v>#N/A</v>
      </c>
    </row>
    <row r="14" spans="2:15" ht="21.75" customHeight="1" x14ac:dyDescent="0.25">
      <c r="B14" s="82" t="s">
        <v>48</v>
      </c>
      <c r="C14" s="82"/>
      <c r="D14" s="82"/>
      <c r="E14" s="83"/>
      <c r="F14" s="31"/>
      <c r="G14" s="29"/>
      <c r="H14" s="30">
        <f>J14+L14+N14</f>
        <v>0</v>
      </c>
      <c r="I14" s="29"/>
      <c r="J14" s="30">
        <f>IF(AND(F14="Yes", J6&lt;&gt;"not enrolled"), (VLOOKUP(F14, Data!A24:C25, 2, FALSE)), 0)</f>
        <v>0</v>
      </c>
      <c r="K14" s="29"/>
      <c r="L14" s="30">
        <v>0</v>
      </c>
      <c r="M14" s="30"/>
      <c r="N14" s="30">
        <f>IF(AND(F14="Yes", N6&lt;&gt;"not enrolled"), (VLOOKUP(F14, Data!A24:C25, 2, FALSE)), 0)</f>
        <v>0</v>
      </c>
      <c r="O14" s="29"/>
    </row>
    <row r="15" spans="2:15" s="25" customFormat="1" ht="21.75" customHeight="1" x14ac:dyDescent="0.25">
      <c r="B15" s="84" t="s">
        <v>47</v>
      </c>
      <c r="C15" s="84"/>
      <c r="D15" s="84"/>
      <c r="E15" s="85"/>
      <c r="F15" s="50"/>
      <c r="G15" s="32"/>
      <c r="H15" s="33">
        <f>J15+L15+N15</f>
        <v>0</v>
      </c>
      <c r="I15" s="32"/>
      <c r="J15" s="33">
        <f>IF(AND(F15="Yes", J6&lt;&gt;"not enrolled",J6&lt;&gt;"4 credits",J6&lt;&gt;"5 credits"), (VLOOKUP(F15,Data!A24:C25, 3, FALSE)), 0)</f>
        <v>0</v>
      </c>
      <c r="K15" s="32"/>
      <c r="L15" s="33">
        <f>IF(AND(F15="Yes", L6&lt;&gt;"not enrolled",L6&lt;&gt;"4 credits",L6&lt;&gt;"5 credits"), (VLOOKUP(F15, Data!A24:C25, 3, FALSE)), 0)</f>
        <v>0</v>
      </c>
      <c r="M15" s="33"/>
      <c r="N15" s="33">
        <f>IF(AND(F15="Yes", N6&lt;&gt;"not enrolled",N6&lt;&gt;"4 credits",N6&lt;&gt;"5 credits"), (VLOOKUP(F15, Data!A24:C25, 3, FALSE)), 0)</f>
        <v>0</v>
      </c>
      <c r="O15" s="32"/>
    </row>
    <row r="16" spans="2:15" ht="21.75" customHeight="1" x14ac:dyDescent="0.25">
      <c r="D16" s="7" t="s">
        <v>6</v>
      </c>
      <c r="H16" s="8" t="e">
        <f>SUM(H10, H12:H15)</f>
        <v>#N/A</v>
      </c>
      <c r="J16" s="8" t="e">
        <f>SUM(J10,J12:J15)</f>
        <v>#N/A</v>
      </c>
      <c r="L16" s="8" t="e">
        <f>SUM(L10,L12:L15)</f>
        <v>#N/A</v>
      </c>
      <c r="M16" s="8"/>
      <c r="N16" s="8" t="e">
        <f>SUM(N10,N12:N15)</f>
        <v>#N/A</v>
      </c>
    </row>
    <row r="17" spans="2:15" ht="24" customHeight="1" x14ac:dyDescent="0.25"/>
    <row r="18" spans="2:15" ht="15.75" thickBot="1" x14ac:dyDescent="0.3">
      <c r="B18" s="1" t="s">
        <v>11</v>
      </c>
      <c r="C18" s="1"/>
      <c r="D18" s="2"/>
      <c r="E18" s="2"/>
      <c r="F18" s="2"/>
      <c r="G18" s="2"/>
      <c r="H18" s="4" t="s">
        <v>3</v>
      </c>
      <c r="I18" s="3"/>
      <c r="J18" s="4" t="s">
        <v>72</v>
      </c>
      <c r="K18" s="3"/>
      <c r="L18" s="4" t="s">
        <v>73</v>
      </c>
      <c r="M18" s="4"/>
      <c r="N18" s="4" t="s">
        <v>74</v>
      </c>
      <c r="O18" s="2"/>
    </row>
    <row r="19" spans="2:15" ht="21.75" customHeight="1" x14ac:dyDescent="0.25">
      <c r="B19" t="s">
        <v>16</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15" ht="21.75" customHeight="1" x14ac:dyDescent="0.2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15" ht="21.75" customHeight="1" x14ac:dyDescent="0.25">
      <c r="B21" t="s">
        <v>19</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row>
    <row r="22" spans="2:15" ht="21.75" customHeight="1" x14ac:dyDescent="0.25">
      <c r="B22" s="10" t="s">
        <v>20</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row>
    <row r="23" spans="2:15" ht="21.75" customHeight="1" x14ac:dyDescent="0.25">
      <c r="B23" s="74" t="s">
        <v>23</v>
      </c>
      <c r="C23" s="74"/>
      <c r="D23" s="74"/>
      <c r="E23" s="74"/>
      <c r="F23" s="74"/>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15" ht="21.75" customHeight="1" x14ac:dyDescent="0.25">
      <c r="B24" s="75" t="s">
        <v>24</v>
      </c>
      <c r="C24" s="75"/>
      <c r="D24" s="75"/>
      <c r="E24" s="75"/>
      <c r="F24" s="75"/>
      <c r="G24" s="75"/>
      <c r="H24" s="27">
        <f>J24+L24+N24</f>
        <v>0</v>
      </c>
      <c r="I24" s="26"/>
      <c r="J24" s="18"/>
      <c r="K24" s="26"/>
      <c r="L24" s="18"/>
      <c r="M24" s="34"/>
      <c r="N24" s="58"/>
      <c r="O24" s="26"/>
    </row>
    <row r="25" spans="2:15" ht="21.75" customHeight="1" x14ac:dyDescent="0.25">
      <c r="D25" s="7" t="s">
        <v>10</v>
      </c>
      <c r="H25" s="5">
        <f>SUM(H19:H24)</f>
        <v>0</v>
      </c>
      <c r="J25" s="5">
        <f>SUM(J19:J24)</f>
        <v>0</v>
      </c>
      <c r="L25" s="5">
        <f>SUM(L19:L23,L24)</f>
        <v>0</v>
      </c>
      <c r="N25" s="5">
        <f>SUM(N19:N23,N24)</f>
        <v>0</v>
      </c>
    </row>
    <row r="26" spans="2:15" ht="15.75" thickBot="1" x14ac:dyDescent="0.3"/>
    <row r="27" spans="2:15" ht="21.75" customHeight="1" thickTop="1" thickBot="1" x14ac:dyDescent="0.35">
      <c r="B27" s="14" t="s">
        <v>12</v>
      </c>
      <c r="C27" s="14"/>
      <c r="D27" s="13"/>
      <c r="E27" s="13"/>
      <c r="F27" s="13"/>
      <c r="G27" s="13"/>
      <c r="H27" s="23" t="e">
        <f>H16-H25</f>
        <v>#N/A</v>
      </c>
      <c r="I27" s="24"/>
      <c r="J27" s="23" t="e">
        <f>J16-J25</f>
        <v>#N/A</v>
      </c>
      <c r="K27" s="24"/>
      <c r="L27" s="23" t="e">
        <f>L16-L25</f>
        <v>#N/A</v>
      </c>
      <c r="M27" s="23"/>
      <c r="N27" s="23" t="e">
        <f>N16-N25</f>
        <v>#N/A</v>
      </c>
      <c r="O27" s="13"/>
    </row>
    <row r="28" spans="2:15" ht="15.75" thickTop="1" x14ac:dyDescent="0.25"/>
    <row r="29" spans="2:15" x14ac:dyDescent="0.25">
      <c r="B29" s="7" t="s">
        <v>13</v>
      </c>
      <c r="C29" s="7"/>
    </row>
    <row r="30" spans="2:15" ht="21.75" customHeight="1" x14ac:dyDescent="0.25">
      <c r="B30" s="57">
        <v>1</v>
      </c>
      <c r="C30" s="55" t="s">
        <v>76</v>
      </c>
      <c r="D30" s="56"/>
      <c r="E30" s="56"/>
      <c r="F30" s="56"/>
      <c r="G30" s="56"/>
      <c r="H30" s="56"/>
      <c r="I30" s="56"/>
      <c r="J30" s="56"/>
      <c r="K30" s="56"/>
      <c r="L30" s="56"/>
      <c r="M30" s="56"/>
      <c r="N30" s="56"/>
      <c r="O30" s="56"/>
    </row>
    <row r="31" spans="2:15" ht="18" customHeight="1" x14ac:dyDescent="0.25">
      <c r="B31" s="54">
        <v>2</v>
      </c>
      <c r="C31" s="55" t="s">
        <v>49</v>
      </c>
      <c r="D31" s="55"/>
      <c r="E31" s="55"/>
      <c r="F31" s="55"/>
      <c r="G31" s="55"/>
      <c r="H31" s="55"/>
      <c r="I31" s="55"/>
      <c r="J31" s="55"/>
      <c r="K31" s="55"/>
      <c r="L31" s="55"/>
      <c r="M31" s="55"/>
      <c r="N31" s="55"/>
      <c r="O31" s="55"/>
    </row>
    <row r="32" spans="2:15" ht="18" customHeight="1" x14ac:dyDescent="0.25">
      <c r="B32" s="54">
        <v>3</v>
      </c>
      <c r="C32" t="s">
        <v>58</v>
      </c>
    </row>
    <row r="33" spans="2:15" ht="46.5" customHeight="1" x14ac:dyDescent="0.25">
      <c r="B33" s="53">
        <v>4</v>
      </c>
      <c r="C33" s="76" t="s">
        <v>59</v>
      </c>
      <c r="D33" s="76"/>
      <c r="E33" s="76"/>
      <c r="F33" s="76"/>
      <c r="G33" s="76"/>
      <c r="H33" s="76"/>
      <c r="I33" s="76"/>
      <c r="J33" s="76"/>
      <c r="K33" s="76"/>
      <c r="L33" s="76"/>
      <c r="M33" s="76"/>
      <c r="N33" s="76"/>
      <c r="O33" s="76"/>
    </row>
    <row r="34" spans="2:15" ht="21.75" customHeight="1" x14ac:dyDescent="0.25"/>
    <row r="36" spans="2:15" x14ac:dyDescent="0.25">
      <c r="B36" s="70" t="s">
        <v>14</v>
      </c>
      <c r="C36" s="70"/>
      <c r="D36" s="70"/>
      <c r="E36" s="70"/>
      <c r="F36" s="70"/>
      <c r="G36" s="70"/>
      <c r="H36" s="70"/>
      <c r="I36" s="70"/>
      <c r="J36" s="70"/>
      <c r="K36" s="70"/>
      <c r="L36" s="70"/>
      <c r="M36" s="70"/>
      <c r="N36" s="70"/>
      <c r="O36" s="70"/>
    </row>
  </sheetData>
  <sheetProtection algorithmName="SHA-512" hashValue="MaARpY68echWiiAAAT3AVgwhWPN6AwoQq84Sjp8kQ0mHcn+mndlOrGhqfNmN9UIS3/M6gvM3EBXkT4G/vDA91w==" saltValue="vNAupDerRVu/uM/uuyZgkQ==" spinCount="100000" sheet="1" objects="1" scenarios="1" selectLockedCells="1"/>
  <mergeCells count="8">
    <mergeCell ref="H2:O2"/>
    <mergeCell ref="D10:E10"/>
    <mergeCell ref="B36:O36"/>
    <mergeCell ref="B14:E14"/>
    <mergeCell ref="B15:E15"/>
    <mergeCell ref="B23:F23"/>
    <mergeCell ref="B24:G24"/>
    <mergeCell ref="C33:O33"/>
  </mergeCells>
  <hyperlinks>
    <hyperlink ref="B14" r:id="rId1" display="Will you enroll in DU's health insurance plan?" xr:uid="{00000000-0004-0000-0200-000000000000}"/>
    <hyperlink ref="B15" r:id="rId2" display="Will you use DU Health &amp; Counseling Services? " xr:uid="{00000000-0004-0000-02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Data!$A$2:$A$21</xm:f>
          </x14:formula1>
          <xm:sqref>J6 N6 L6</xm:sqref>
        </x14:dataValidation>
        <x14:dataValidation type="list" allowBlank="1" showInputMessage="1" showErrorMessage="1" xr:uid="{00000000-0002-0000-0200-000001000000}">
          <x14:formula1>
            <xm:f>Data!$A$24:$A$25</xm:f>
          </x14:formula1>
          <xm:sqref>F14:F15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33"/>
  <sheetViews>
    <sheetView showGridLines="0" showRowColHeaders="0" showRuler="0" zoomScaleNormal="100" workbookViewId="0">
      <selection activeCell="I7" sqref="I7"/>
    </sheetView>
  </sheetViews>
  <sheetFormatPr defaultColWidth="8.85546875" defaultRowHeight="15" x14ac:dyDescent="0.25"/>
  <cols>
    <col min="1" max="1" width="4.140625" customWidth="1"/>
    <col min="4" max="4" width="14" customWidth="1"/>
    <col min="5" max="5" width="13.85546875" customWidth="1"/>
    <col min="6" max="6" width="4.28515625" customWidth="1"/>
    <col min="7" max="7" width="15" style="5" customWidth="1"/>
    <col min="8" max="8" width="2.85546875" customWidth="1"/>
    <col min="9" max="9" width="15" style="5" customWidth="1"/>
    <col min="10" max="10" width="2.85546875" customWidth="1"/>
    <col min="11" max="11" width="15" style="5" customWidth="1"/>
    <col min="12" max="12" width="2.85546875" style="5" customWidth="1"/>
    <col min="13" max="13" width="15" style="5" customWidth="1"/>
    <col min="14" max="14" width="2.85546875" style="5" customWidth="1"/>
    <col min="15" max="15" width="15" style="5" customWidth="1"/>
  </cols>
  <sheetData>
    <row r="1" spans="2:15" ht="17.25" customHeight="1" x14ac:dyDescent="0.25"/>
    <row r="2" spans="2:15" ht="47.25" customHeight="1" x14ac:dyDescent="0.35">
      <c r="G2" s="71" t="s">
        <v>77</v>
      </c>
      <c r="H2" s="71"/>
      <c r="I2" s="71"/>
      <c r="J2" s="71"/>
      <c r="K2" s="71"/>
      <c r="L2" s="71"/>
      <c r="M2" s="71"/>
      <c r="N2" s="71"/>
      <c r="O2" s="71"/>
    </row>
    <row r="3" spans="2:15" ht="8.25" customHeight="1" x14ac:dyDescent="0.25">
      <c r="B3" s="19"/>
      <c r="C3" s="19"/>
      <c r="D3" s="19"/>
      <c r="E3" s="19"/>
      <c r="F3" s="19"/>
      <c r="G3" s="20"/>
      <c r="H3" s="21"/>
      <c r="I3" s="21"/>
      <c r="J3" s="21"/>
      <c r="K3" s="21"/>
      <c r="L3" s="21"/>
      <c r="M3" s="21"/>
      <c r="N3" s="21"/>
      <c r="O3" s="21"/>
    </row>
    <row r="4" spans="2:15" ht="9.75" customHeight="1" x14ac:dyDescent="0.25"/>
    <row r="5" spans="2:15" ht="9.75" customHeight="1" x14ac:dyDescent="0.25"/>
    <row r="6" spans="2:15" ht="15" customHeight="1" x14ac:dyDescent="0.25">
      <c r="I6" s="65" t="s">
        <v>69</v>
      </c>
      <c r="J6" s="36"/>
      <c r="K6" s="65" t="s">
        <v>70</v>
      </c>
      <c r="L6" s="37"/>
      <c r="M6" s="65" t="s">
        <v>71</v>
      </c>
      <c r="N6" s="37"/>
      <c r="O6" s="65" t="s">
        <v>78</v>
      </c>
    </row>
    <row r="7" spans="2:15" ht="18" customHeight="1" x14ac:dyDescent="0.3">
      <c r="C7" s="6" t="s">
        <v>43</v>
      </c>
      <c r="E7" s="28"/>
      <c r="F7" s="28"/>
      <c r="G7" s="28"/>
      <c r="H7" s="28"/>
      <c r="I7" s="62"/>
      <c r="K7" s="63"/>
      <c r="L7"/>
      <c r="M7" s="64"/>
      <c r="N7"/>
      <c r="O7" s="64"/>
    </row>
    <row r="8" spans="2:15" ht="18.75" customHeight="1" x14ac:dyDescent="0.25"/>
    <row r="9" spans="2:15" ht="15.75" thickBot="1" x14ac:dyDescent="0.3">
      <c r="B9" s="1" t="s">
        <v>7</v>
      </c>
      <c r="C9" s="2"/>
      <c r="D9" s="2"/>
      <c r="E9" s="2"/>
      <c r="F9" s="2"/>
      <c r="G9" s="4" t="s">
        <v>3</v>
      </c>
      <c r="H9" s="3"/>
      <c r="I9" s="4" t="s">
        <v>72</v>
      </c>
      <c r="J9" s="3"/>
      <c r="K9" s="4" t="s">
        <v>73</v>
      </c>
      <c r="L9" s="4"/>
      <c r="M9" s="4" t="s">
        <v>74</v>
      </c>
      <c r="N9" s="4"/>
      <c r="O9" s="4" t="s">
        <v>79</v>
      </c>
    </row>
    <row r="10" spans="2:15" ht="9" customHeight="1" x14ac:dyDescent="0.25"/>
    <row r="11" spans="2:15" ht="21.75" customHeight="1" x14ac:dyDescent="0.25">
      <c r="B11" s="9" t="s">
        <v>1</v>
      </c>
      <c r="C11" s="81"/>
      <c r="D11" s="81"/>
      <c r="E11" s="10"/>
      <c r="F11" s="10"/>
      <c r="G11" s="11" t="e">
        <f>I11+K11+M11+O11</f>
        <v>#N/A</v>
      </c>
      <c r="H11" s="10"/>
      <c r="I11" s="11" t="e">
        <f>VLOOKUP(I7,Data!F2:G21,2,FALSE)</f>
        <v>#N/A</v>
      </c>
      <c r="J11" s="10"/>
      <c r="K11" s="11" t="e">
        <f>VLOOKUP(K7,Data!F2:G21,2,FALSE)</f>
        <v>#N/A</v>
      </c>
      <c r="L11" s="11"/>
      <c r="M11" s="11" t="e">
        <f>VLOOKUP(M7,Data!F2:G21,2,FALSE)</f>
        <v>#N/A</v>
      </c>
      <c r="N11" s="11"/>
      <c r="O11" s="11" t="e">
        <f>VLOOKUP(O7,Data!F2:G21,2,FALSE)</f>
        <v>#N/A</v>
      </c>
    </row>
    <row r="12" spans="2:15" ht="21.75" customHeight="1" x14ac:dyDescent="0.25">
      <c r="B12" s="38" t="s">
        <v>2</v>
      </c>
      <c r="C12" s="39"/>
      <c r="D12" s="39"/>
      <c r="E12" s="39"/>
      <c r="F12" s="39"/>
      <c r="G12" s="40" t="e">
        <f>I12+K12+M12+O12</f>
        <v>#N/A</v>
      </c>
      <c r="H12" s="39"/>
      <c r="I12" s="40" t="e">
        <f>VLOOKUP(I7,Data!F2:H21,3,FALSE)</f>
        <v>#N/A</v>
      </c>
      <c r="J12" s="39"/>
      <c r="K12" s="40" t="e">
        <f>VLOOKUP(K7,Data!F2:H21,3,FALSE)</f>
        <v>#N/A</v>
      </c>
      <c r="L12" s="40"/>
      <c r="M12" s="40" t="e">
        <f>VLOOKUP(M7,Data!F2:H21,3,FALSE)</f>
        <v>#N/A</v>
      </c>
      <c r="N12" s="40"/>
      <c r="O12" s="40" t="e">
        <f>VLOOKUP(O7,Data!F2:H21,3,FALSE)</f>
        <v>#N/A</v>
      </c>
    </row>
    <row r="13" spans="2:15" ht="21.75" customHeight="1" x14ac:dyDescent="0.25">
      <c r="B13" s="19"/>
      <c r="C13" s="42" t="s">
        <v>6</v>
      </c>
      <c r="D13" s="19"/>
      <c r="E13" s="19"/>
      <c r="F13" s="19"/>
      <c r="G13" s="43" t="e">
        <f>SUM(G11:G12)</f>
        <v>#N/A</v>
      </c>
      <c r="H13" s="19"/>
      <c r="I13" s="43" t="e">
        <f>SUM(I11:I12)</f>
        <v>#N/A</v>
      </c>
      <c r="J13" s="19"/>
      <c r="K13" s="43" t="e">
        <f>SUM(K11:K12)</f>
        <v>#N/A</v>
      </c>
      <c r="L13" s="43"/>
      <c r="M13" s="43" t="e">
        <f>SUM(M11:M12)</f>
        <v>#N/A</v>
      </c>
      <c r="N13" s="43"/>
      <c r="O13" s="43" t="e">
        <f>SUM(O11:O12)</f>
        <v>#N/A</v>
      </c>
    </row>
    <row r="14" spans="2:15" ht="24" customHeight="1" x14ac:dyDescent="0.25"/>
    <row r="15" spans="2:15" ht="15.75" thickBot="1" x14ac:dyDescent="0.3">
      <c r="B15" s="1" t="s">
        <v>11</v>
      </c>
      <c r="C15" s="2"/>
      <c r="D15" s="2"/>
      <c r="E15" s="2"/>
      <c r="F15" s="2"/>
      <c r="G15" s="4" t="s">
        <v>3</v>
      </c>
      <c r="H15" s="3"/>
      <c r="I15" s="4" t="s">
        <v>72</v>
      </c>
      <c r="J15" s="3"/>
      <c r="K15" s="4" t="s">
        <v>73</v>
      </c>
      <c r="L15" s="4"/>
      <c r="M15" s="4" t="s">
        <v>74</v>
      </c>
      <c r="N15" s="4"/>
      <c r="O15" s="4" t="s">
        <v>79</v>
      </c>
    </row>
    <row r="16" spans="2:15" ht="21.75" customHeight="1" x14ac:dyDescent="0.25">
      <c r="B16" t="s">
        <v>16</v>
      </c>
      <c r="G16" s="15"/>
      <c r="I16" s="5">
        <f>IF((AND(I7&lt;&gt;"not enrolled",K7&lt;&gt;"not enrolled",M7&lt;&gt;"not enrolled",O7&lt;&gt;"not enrolled")),(G16/4), IF((AND(I7&lt;&gt;"not enrolled",K7&lt;&gt;"not enrolled",M7&lt;&gt;"not enrolled",O7="not enrolled")),(G16/3), IF((AND(I7&lt;&gt;"not enrolled",K7&lt;&gt;"not enrolled",M7="not enrolled",O7="not enrolled")),(G16/2), IF((AND(I7&lt;&gt;"not enrolled",K7="not enrolled",M7="not enrolled",O7="not enrolled")),(G16/1), 0))))</f>
        <v>0</v>
      </c>
      <c r="K16" s="5">
        <f>IF((AND(I7&lt;&gt;"not enrolled",K7&lt;&gt;"not enrolled",M7&lt;&gt;"not enrolled",O7&lt;&gt;"not enrolled")),(G16/4), IF((AND(I7&lt;&gt;"not enrolled",K7&lt;&gt;"not enrolled",M7&lt;&gt;"not enrolled",O7="not enrolled")),(G16/3), IF((AND(I7="not enrolled",K7&lt;&gt;"not enrolled",M7&lt;&gt;"not enrolled",O7&lt;&gt;"not enrolled")),(G16/3), IF((AND(I7&lt;&gt;"not enrolled",K7&lt;&gt;"not enrolled",M7="not enrolled",O7="not enrolled")),(G16/2), 0))))</f>
        <v>0</v>
      </c>
      <c r="M16" s="5">
        <f>IF((AND(I7&lt;&gt;"not enrolled",K7&lt;&gt;"not enrolled",M7&lt;&gt;"not enrolled",O7&lt;&gt;"not enrolled")),(G16/4), IF((AND(I7&lt;&gt;"not enrolled",K7&lt;&gt;"not enrolled",M7&lt;&gt;"not enrolled",O7="not enrolled")),(G16/3), IF((AND(I7="not enrolled",K7&lt;&gt;"not enrolled",M7&lt;&gt;"not enrolled",O7&lt;&gt;"not enrolled")),(G16/3), IF((AND(I7="not enrolled",K7="not enrolled",M7&lt;&gt;"not enrolled",O7&lt;&gt;"not enrolled")),(G16/2), 0))))</f>
        <v>0</v>
      </c>
      <c r="O16" s="5">
        <f>IF((AND(I7&lt;&gt;"not enrolled",K7&lt;&gt;"not enrolled",M7&lt;&gt;"not enrolled",O7&lt;&gt;"not enrolled")),(G16/4), IF((AND(I7="not enrolled",K7&lt;&gt;"not enrolled",M7&lt;&gt;"not enrolled",O7&lt;&gt;"not enrolled")),(G16/3), IF((AND(I7="not enrolled",K7="not enrolled",M7&lt;&gt;"not enrolled",O7&lt;&gt;"not enrolled")),(G16/2),  IF((AND(I7="not enrolled",K7="not enrolled",M7="not enrolled",O7&lt;&gt;"not enrolled")),(G16), 0))))</f>
        <v>0</v>
      </c>
    </row>
    <row r="17" spans="2:15" ht="21.75" customHeight="1" x14ac:dyDescent="0.25">
      <c r="B17" s="10" t="s">
        <v>8</v>
      </c>
      <c r="C17" s="10"/>
      <c r="D17" s="10"/>
      <c r="E17" s="10"/>
      <c r="F17" s="10"/>
      <c r="G17" s="16"/>
      <c r="H17" s="10"/>
      <c r="I17" s="11">
        <f>IF((AND(I7&lt;&gt;"not enrolled",K7&lt;&gt;"not enrolled",M7&lt;&gt;"not enrolled",O7&lt;&gt;"not enrolled")),(G17/4), IF((AND(I7&lt;&gt;"not enrolled",K7&lt;&gt;"not enrolled",M7&lt;&gt;"not enrolled",O7="not enrolled")),(G17/3), IF((AND(I7&lt;&gt;"not enrolled",K7&lt;&gt;"not enrolled",M7="not enrolled",O7="not enrolled")),(G17/2), IF((AND(I7&lt;&gt;"not enrolled",K7="not enrolled",M7="not enrolled",O7="not enrolled")),(G17/1), 0))))</f>
        <v>0</v>
      </c>
      <c r="J17" s="10"/>
      <c r="K17" s="11">
        <f>IF((AND(I7&lt;&gt;"not enrolled",K7&lt;&gt;"not enrolled",M7&lt;&gt;"not enrolled",O7&lt;&gt;"not enrolled")),(G17/4), IF((AND(I7&lt;&gt;"not enrolled",K7&lt;&gt;"not enrolled",M7&lt;&gt;"not enrolled",O7="not enrolled")),(G17/3), IF((AND(I7="not enrolled",K7&lt;&gt;"not enrolled",M7&lt;&gt;"not enrolled",O7&lt;&gt;"not enrolled")),(G17/3), IF((AND(I7&lt;&gt;"not enrolled",K7&lt;&gt;"not enrolled",M7="not enrolled",O7="not enrolled")),(G17/2), 0))))</f>
        <v>0</v>
      </c>
      <c r="L17" s="11"/>
      <c r="M17" s="11">
        <f>IF((AND(I7&lt;&gt;"not enrolled",K7&lt;&gt;"not enrolled",M7&lt;&gt;"not enrolled",O7&lt;&gt;"not enrolled")),(G17/4), IF((AND(I7&lt;&gt;"not enrolled",K7&lt;&gt;"not enrolled",M7&lt;&gt;"not enrolled",O7="not enrolled")),(G17/3), IF((AND(I7="not enrolled",K7&lt;&gt;"not enrolled",M7&lt;&gt;"not enrolled",O7&lt;&gt;"not enrolled")),(G17/3), IF((AND(I7="not enrolled",K7="not enrolled",M7&lt;&gt;"not enrolled",O7&lt;&gt;"not enrolled")),(G17/2), 0))))</f>
        <v>0</v>
      </c>
      <c r="N17" s="11"/>
      <c r="O17" s="11">
        <f>IF((AND(I7&lt;&gt;"not enrolled",K7&lt;&gt;"not enrolled",M7&lt;&gt;"not enrolled",O7&lt;&gt;"not enrolled")),(G17/4), IF((AND(I7="not enrolled",K7&lt;&gt;"not enrolled",M7&lt;&gt;"not enrolled",O7&lt;&gt;"not enrolled")),(G17/3), IF((AND(I7="not enrolled",K7="not enrolled",M7&lt;&gt;"not enrolled",O7&lt;&gt;"not enrolled")),(G17/2),  IF((AND(I7="not enrolled",K7="not enrolled",M7="not enrolled",O7&lt;&gt;"not enrolled")),(G17), 0))))</f>
        <v>0</v>
      </c>
    </row>
    <row r="18" spans="2:15" ht="21.75" customHeight="1" x14ac:dyDescent="0.25">
      <c r="B18" t="s">
        <v>19</v>
      </c>
      <c r="E18" s="17"/>
      <c r="G18" s="5">
        <f>SUM(I18,K18,M18,O18)</f>
        <v>0</v>
      </c>
      <c r="I18" s="5">
        <f>IF((AND(I7&lt;&gt;"not enrolled",K7&lt;&gt;"not enrolled",M7&lt;&gt;"not enrolled",O7&lt;&gt;"not enrolled")),ROUND(((E18-(E18*0.01057))/4),0), IF((AND(I7&lt;&gt;"not enrolled",K7&lt;&gt;"not enrolled",M7&lt;&gt;"not enrolled",O7="not enrolled")),ROUND(((E18-(E18*0.01057))/3),0), IF((AND(I7&lt;&gt;"not enrolled",K7&lt;&gt;"not enrolled",M7="not enrolled",O7="not enrolled")),ROUND(((E18-(E18*0.01057))/2),0), IF((AND(I7&lt;&gt;"not enrolled",K7="not enrolled",M7="not enrolled",O7="not enrolled")),ROUND(((E18-(E18*0.01057))/1),0), 0))))</f>
        <v>0</v>
      </c>
      <c r="K18" s="5">
        <f>IF((AND(I7&lt;&gt;"not enrolled",K7&lt;&gt;"not enrolled",M7&lt;&gt;"not enrolled",O7&lt;&gt;"not enrolled")),ROUND(((E18-(E18*0.01057))/4),0), IF((AND(I7&lt;&gt;"not enrolled",K7&lt;&gt;"not enrolled",M7&lt;&gt;"not enrolled",O7="not enrolled")),ROUND(((E18-(E18*0.01057))/3),0), IF((AND(I7="not enrolled",K7&lt;&gt;"not enrolled",M7&lt;&gt;"not enrolled",O7&lt;&gt;"not enrolled")),ROUND(((E18-(E18*0.01057))/3),0), IF((AND(I7&lt;&gt;"not enrolled",K7&lt;&gt;"not enrolled",M7="not enrolled",O7="not enrolled")),ROUND(((E18-(E18*0.01057))/2),0), 0))))</f>
        <v>0</v>
      </c>
      <c r="M18" s="5">
        <f>IF((AND(I7&lt;&gt;"not enrolled",K7&lt;&gt;"not enrolled",M7&lt;&gt;"not enrolled",O7&lt;&gt;"not enrolled")),ROUND(((E18-(E18*0.01057))/4),0), IF((AND(I7&lt;&gt;"not enrolled",K7&lt;&gt;"not enrolled",M7&lt;&gt;"not enrolled",O7="not enrolled")),ROUND(((E18-(E18*0.01057))/3),0), IF((AND(I7="not enrolled",K7&lt;&gt;"not enrolled",M7&lt;&gt;"not enrolled",O7&lt;&gt;"not enrolled")),ROUND(((E18-(E18*0.01057))/3),0), IF((AND(I7="not enrolled",K7="not enrolled",M7&lt;&gt;"not enrolled",O7&lt;&gt;"not enrolled")),ROUND(((E18-(E18*0.01057))/2),0), 0))))</f>
        <v>0</v>
      </c>
      <c r="O18" s="5">
        <f>IF((AND(I7&lt;&gt;"not enrolled",K7&lt;&gt;"not enrolled",M7&lt;&gt;"not enrolled",O7&lt;&gt;"not enrolled")),ROUND(((E18-(E18*0.01057))/4),0), IF((AND(I7="not enrolled",K7&lt;&gt;"not enrolled",M7&lt;&gt;"not enrolled",O7&lt;&gt;"not enrolled")),ROUND(((E18-(E18*0.01057))/3),0), IF((AND(I7="not enrolled",K7="not enrolled",M7&lt;&gt;"not enrolled",O7&lt;&gt;"not enrolled")),ROUND(((E18-(E18*0.01057))/2),0),  IF((AND(I7="not enrolled",K7="not enrolled",M7="not enrolled",O7&lt;&gt;"not enrolled")),ROUND(((E18-(E18*0.01057))/1),0), 0))))</f>
        <v>0</v>
      </c>
    </row>
    <row r="19" spans="2:15" ht="21.75" customHeight="1" x14ac:dyDescent="0.25">
      <c r="B19" s="10" t="s">
        <v>20</v>
      </c>
      <c r="C19" s="10"/>
      <c r="D19" s="10"/>
      <c r="E19" s="17"/>
      <c r="F19" s="10"/>
      <c r="G19" s="11">
        <f>SUM(I19,K19,M19,O19)</f>
        <v>0</v>
      </c>
      <c r="H19" s="10"/>
      <c r="I19" s="11">
        <f>IF((AND(I7&lt;&gt;"not enrolled",K7&lt;&gt;"not enrolled",M7&lt;&gt;"not enrolled",O7&lt;&gt;"not enrolled")),ROUND(((E19-(E19*0.04228))/4),0), IF((AND(I7&lt;&gt;"not enrolled",K7&lt;&gt;"not enrolled",M7&lt;&gt;"not enrolled",O7="not enrolled")),ROUND(((E19-(E19*0.04228))/3),0), IF((AND(I7&lt;&gt;"not enrolled",K7&lt;&gt;"not enrolled",M7="not enrolled",O7="not enrolled")),ROUND(((E19-(E19*0.04228))/2),0), IF((AND(I7&lt;&gt;"not enrolled",K7="not enrolled",M7="not enrolled",O7="not enrolled")),ROUND(((E19-(E19*0.04228))/1),0), 0))))</f>
        <v>0</v>
      </c>
      <c r="J19" s="10"/>
      <c r="K19" s="11">
        <f>IF((AND(I7&lt;&gt;"not enrolled",K7&lt;&gt;"not enrolled",M7&lt;&gt;"not enrolled",O7&lt;&gt;"not enrolled")),ROUND(((E19-(E19*0.04228))/4),0), IF((AND(I7&lt;&gt;"not enrolled",K7&lt;&gt;"not enrolled",M7&lt;&gt;"not enrolled",O7="not enrolled")),ROUND(((E19-(E19*0.04228))/3),0), IF((AND(I7="not enrolled",K7&lt;&gt;"not enrolled",M7&lt;&gt;"not enrolled",O7&lt;&gt;"not enrolled")),ROUND(((E19-(E19*0.04228))/3),0), IF((AND(I7&lt;&gt;"not enrolled",K7&lt;&gt;"not enrolled",M7="not enrolled",O7="not enrolled")),ROUND(((E19-(E19*0.04228))/2),0), 0))))</f>
        <v>0</v>
      </c>
      <c r="L19" s="11"/>
      <c r="M19" s="11">
        <f>IF((AND(I7&lt;&gt;"not enrolled",K7&lt;&gt;"not enrolled",M7&lt;&gt;"not enrolled",O7&lt;&gt;"not enrolled")),ROUND(((E19-(E19*0.04228))/4),0), IF((AND(I7&lt;&gt;"not enrolled",K7&lt;&gt;"not enrolled",M7&lt;&gt;"not enrolled",O7="not enrolled")),ROUND(((E19-(E19*0.04228))/3),0), IF((AND(I7="not enrolled",K7&lt;&gt;"not enrolled",M7&lt;&gt;"not enrolled",O7&lt;&gt;"not enrolled")),ROUND(((E19-(E19*0.04228))/3),0), IF((AND(I7="not enrolled",K7="not enrolled",M7&lt;&gt;"not enrolled",O7&lt;&gt;"not enrolled")),ROUND(((E19-(E19*0.04228))/2),0), 0))))</f>
        <v>0</v>
      </c>
      <c r="N19" s="11"/>
      <c r="O19" s="11">
        <f>IF((AND(I7&lt;&gt;"not enrolled",K7&lt;&gt;"not enrolled",M7&lt;&gt;"not enrolled",O7&lt;&gt;"not enrolled")),ROUND(((E19-(E19*0.04228))/4),0), IF((AND(I7="not enrolled",K7&lt;&gt;"not enrolled",M7&lt;&gt;"not enrolled",O7&lt;&gt;"not enrolled")),ROUND(((E19-(E19*0.04228))/3),0), IF((AND(I7="not enrolled",K7="not enrolled",M7&lt;&gt;"not enrolled",O7&lt;&gt;"not enrolled")),ROUND(((E19-(E19*0.04228))/2),0),  IF((AND(I7="not enrolled",K7="not enrolled",M7="not enrolled",O7&lt;&gt;"not enrolled")),ROUND(((E19-(E19*0.04228))/1),0), 0))))</f>
        <v>0</v>
      </c>
    </row>
    <row r="20" spans="2:15" ht="21.75" customHeight="1" x14ac:dyDescent="0.25">
      <c r="B20" t="s">
        <v>9</v>
      </c>
      <c r="G20" s="16"/>
      <c r="I20" s="5">
        <f>IF((AND(I7&lt;&gt;"not enrolled",K7&lt;&gt;"not enrolled",M7&lt;&gt;"not enrolled",O7&lt;&gt;"not enrolled")),(G20/4), IF((AND(I7&lt;&gt;"not enrolled",K7&lt;&gt;"not enrolled",M7&lt;&gt;"not enrolled",O7="not enrolled")),(G20/3), IF((AND(I7&lt;&gt;"not enrolled",K7&lt;&gt;"not enrolled",M7="not enrolled",O7="not enrolled")),(G20/2), IF((AND(I7&lt;&gt;"not enrolled",K7="not enrolled",M7="not enrolled",O7="not enrolled")),(G20/1), 0))))</f>
        <v>0</v>
      </c>
      <c r="K20" s="5">
        <f>IF((AND(I7&lt;&gt;"not enrolled",K7&lt;&gt;"not enrolled",M7&lt;&gt;"not enrolled",O7&lt;&gt;"not enrolled")),(G20/4), IF((AND(I7&lt;&gt;"not enrolled",K7&lt;&gt;"not enrolled",M7&lt;&gt;"not enrolled",O7="not enrolled")),(G20/3), IF((AND(I7="not enrolled",K7&lt;&gt;"not enrolled",M7&lt;&gt;"not enrolled",O7&lt;&gt;"not enrolled")),(G20/3), IF((AND(I7&lt;&gt;"not enrolled",K7&lt;&gt;"not enrolled",M7="not enrolled",O7="not enrolled")),(G20/2), 0))))</f>
        <v>0</v>
      </c>
      <c r="M20" s="5">
        <f>IF((AND(I7&lt;&gt;"not enrolled",K7&lt;&gt;"not enrolled",M7&lt;&gt;"not enrolled",O7&lt;&gt;"not enrolled")),(G20/4), IF((AND(I7&lt;&gt;"not enrolled",K7&lt;&gt;"not enrolled",M7&lt;&gt;"not enrolled",O7="not enrolled")),(G20/3), IF((AND(I7="not enrolled",K7&lt;&gt;"not enrolled",M7&lt;&gt;"not enrolled",O7&lt;&gt;"not enrolled")),(G20/3), IF((AND(I7="not enrolled",K7="not enrolled",M7&lt;&gt;"not enrolled",O7&lt;&gt;"not enrolled")),(G20/2), 0))))</f>
        <v>0</v>
      </c>
      <c r="O20" s="5">
        <f>IF((AND(I7&lt;&gt;"not enrolled",K7&lt;&gt;"not enrolled",M7&lt;&gt;"not enrolled",O7&lt;&gt;"not enrolled")),(G20/4), IF((AND(I7="not enrolled",K7&lt;&gt;"not enrolled",M7&lt;&gt;"not enrolled",O7&lt;&gt;"not enrolled")),(G20/3), IF((AND(I7="not enrolled",K7="not enrolled",M7&lt;&gt;"not enrolled",O7&lt;&gt;"not enrolled")),(G20/2),  IF((AND(I7="not enrolled",K7="not enrolled",M7="not enrolled",O7&lt;&gt;"not enrolled")),(G20), 0))))</f>
        <v>0</v>
      </c>
    </row>
    <row r="21" spans="2:15" ht="21.75" customHeight="1" x14ac:dyDescent="0.25">
      <c r="B21" s="75" t="s">
        <v>24</v>
      </c>
      <c r="C21" s="75"/>
      <c r="D21" s="75"/>
      <c r="E21" s="75"/>
      <c r="F21" s="75"/>
      <c r="G21" s="27">
        <f>I21+K21+M21+O21</f>
        <v>0</v>
      </c>
      <c r="H21" s="26"/>
      <c r="I21" s="18"/>
      <c r="J21" s="26"/>
      <c r="K21" s="18"/>
      <c r="L21" s="69"/>
      <c r="M21" s="18"/>
      <c r="N21" s="69"/>
      <c r="O21" s="18"/>
    </row>
    <row r="22" spans="2:15" ht="21.75" customHeight="1" x14ac:dyDescent="0.25">
      <c r="C22" s="7" t="s">
        <v>10</v>
      </c>
      <c r="G22" s="5">
        <f>SUM(G16:G21)</f>
        <v>0</v>
      </c>
      <c r="I22" s="5">
        <f>SUM(I16:I21)</f>
        <v>0</v>
      </c>
      <c r="K22" s="5">
        <f>SUM(K16:K21)</f>
        <v>0</v>
      </c>
      <c r="M22" s="5">
        <f>SUM(M16:M21)</f>
        <v>0</v>
      </c>
      <c r="O22" s="5">
        <f>SUM(O16:O21)</f>
        <v>0</v>
      </c>
    </row>
    <row r="23" spans="2:15" ht="15.75" thickBot="1" x14ac:dyDescent="0.3"/>
    <row r="24" spans="2:15" ht="21.75" customHeight="1" thickTop="1" thickBot="1" x14ac:dyDescent="0.35">
      <c r="B24" s="14" t="s">
        <v>12</v>
      </c>
      <c r="C24" s="13"/>
      <c r="D24" s="13"/>
      <c r="E24" s="13"/>
      <c r="F24" s="13"/>
      <c r="G24" s="23" t="e">
        <f>G13-G22</f>
        <v>#N/A</v>
      </c>
      <c r="H24" s="24"/>
      <c r="I24" s="23" t="e">
        <f>I13-I22</f>
        <v>#N/A</v>
      </c>
      <c r="J24" s="24"/>
      <c r="K24" s="23" t="e">
        <f>K13-K22</f>
        <v>#N/A</v>
      </c>
      <c r="L24" s="23"/>
      <c r="M24" s="23" t="e">
        <f>M13-M22</f>
        <v>#N/A</v>
      </c>
      <c r="N24" s="23"/>
      <c r="O24" s="23" t="e">
        <f>O13-O22</f>
        <v>#N/A</v>
      </c>
    </row>
    <row r="25" spans="2:15" ht="15.75" thickTop="1" x14ac:dyDescent="0.25"/>
    <row r="26" spans="2:15" x14ac:dyDescent="0.25">
      <c r="B26" s="7" t="s">
        <v>13</v>
      </c>
    </row>
    <row r="27" spans="2:15" ht="21" customHeight="1" x14ac:dyDescent="0.25">
      <c r="B27" s="86" t="s">
        <v>80</v>
      </c>
      <c r="C27" s="76"/>
      <c r="D27" s="76"/>
      <c r="E27" s="76"/>
      <c r="F27" s="76"/>
      <c r="G27" s="76"/>
      <c r="H27" s="76"/>
      <c r="I27" s="76"/>
      <c r="J27" s="76"/>
      <c r="K27" s="76"/>
      <c r="L27" s="76"/>
      <c r="M27" s="76"/>
      <c r="N27" s="76"/>
      <c r="O27" s="76"/>
    </row>
    <row r="28" spans="2:15" ht="21.75" customHeight="1" x14ac:dyDescent="0.25">
      <c r="B28" s="74" t="s">
        <v>18</v>
      </c>
      <c r="C28" s="74"/>
      <c r="D28" s="74"/>
      <c r="E28" s="74"/>
      <c r="F28" s="74"/>
      <c r="G28" s="74"/>
      <c r="H28" s="74"/>
      <c r="I28" s="74"/>
      <c r="J28" s="74"/>
      <c r="K28" s="74"/>
      <c r="L28" s="74"/>
      <c r="M28" s="74"/>
      <c r="N28" s="74"/>
      <c r="O28" s="74"/>
    </row>
    <row r="29" spans="2:15" ht="21.75" customHeight="1" x14ac:dyDescent="0.25">
      <c r="B29" t="s">
        <v>60</v>
      </c>
    </row>
    <row r="30" spans="2:15" ht="51" customHeight="1" x14ac:dyDescent="0.25">
      <c r="B30" s="76" t="s">
        <v>61</v>
      </c>
      <c r="C30" s="76"/>
      <c r="D30" s="76"/>
      <c r="E30" s="76"/>
      <c r="F30" s="76"/>
      <c r="G30" s="76"/>
      <c r="H30" s="76"/>
      <c r="I30" s="76"/>
      <c r="J30" s="76"/>
      <c r="K30" s="76"/>
      <c r="L30" s="76"/>
      <c r="M30" s="76"/>
      <c r="N30" s="76"/>
      <c r="O30" s="76"/>
    </row>
    <row r="31" spans="2:15" ht="21.75" customHeight="1" x14ac:dyDescent="0.25"/>
    <row r="33" spans="2:15" x14ac:dyDescent="0.25">
      <c r="B33" s="70" t="s">
        <v>14</v>
      </c>
      <c r="C33" s="70"/>
      <c r="D33" s="70"/>
      <c r="E33" s="70"/>
      <c r="F33" s="70"/>
      <c r="G33" s="70"/>
      <c r="H33" s="70"/>
      <c r="I33" s="70"/>
      <c r="J33" s="70"/>
      <c r="K33" s="70"/>
      <c r="L33" s="70"/>
      <c r="M33" s="70"/>
      <c r="N33" s="70"/>
      <c r="O33" s="70"/>
    </row>
  </sheetData>
  <sheetProtection algorithmName="SHA-512" hashValue="KM+MLmR7diI8c0h0w3851osZ51vgjmIh9EgukXwLGsn9RXMu8K4x7wOZrYLgKax1Qw6e+BuXtaQXQ/jrdScwAw==" saltValue="3ZHh1DVltr4lzUZc5UhIhQ==" spinCount="100000" sheet="1" selectLockedCells="1"/>
  <mergeCells count="7">
    <mergeCell ref="B30:O30"/>
    <mergeCell ref="B33:O33"/>
    <mergeCell ref="G2:O2"/>
    <mergeCell ref="C11:D11"/>
    <mergeCell ref="B21:F21"/>
    <mergeCell ref="B27:O27"/>
    <mergeCell ref="B28:O28"/>
  </mergeCells>
  <pageMargins left="0.5" right="0.5" top="0.5" bottom="0.5" header="0.3" footer="0.3"/>
  <pageSetup scale="7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Data!$F$2:$F$21</xm:f>
          </x14:formula1>
          <xm:sqref>O7 I7 K7 M7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38"/>
  <sheetViews>
    <sheetView showGridLines="0" showRowColHeaders="0" showRuler="0" zoomScaleNormal="100" workbookViewId="0">
      <selection activeCell="G5" sqref="G5:H5"/>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77" t="s">
        <v>81</v>
      </c>
      <c r="I2" s="78"/>
      <c r="J2" s="78"/>
      <c r="K2" s="78"/>
      <c r="L2" s="78"/>
      <c r="M2" s="78"/>
      <c r="N2" s="78"/>
      <c r="O2" s="78"/>
    </row>
    <row r="3" spans="2:15" ht="8.25" customHeight="1" x14ac:dyDescent="0.25">
      <c r="B3" s="19"/>
      <c r="C3" s="19"/>
      <c r="D3" s="19"/>
      <c r="E3" s="19"/>
      <c r="F3" s="19"/>
      <c r="G3" s="19"/>
      <c r="H3" s="20"/>
      <c r="I3" s="21"/>
      <c r="J3" s="21"/>
      <c r="K3" s="21"/>
      <c r="L3" s="21"/>
      <c r="M3" s="21"/>
      <c r="N3" s="21"/>
      <c r="O3" s="21"/>
    </row>
    <row r="4" spans="2:15" ht="24" customHeight="1" x14ac:dyDescent="0.25">
      <c r="B4" s="61"/>
      <c r="C4" s="68"/>
      <c r="D4" s="61"/>
      <c r="E4" s="61"/>
      <c r="F4" s="61"/>
      <c r="G4" s="61"/>
      <c r="H4" s="61"/>
      <c r="I4" s="61"/>
      <c r="J4" s="61"/>
      <c r="K4" s="61"/>
      <c r="L4" s="61"/>
      <c r="M4" s="61"/>
      <c r="N4" s="61"/>
      <c r="O4" s="61"/>
    </row>
    <row r="5" spans="2:15" ht="19.5" customHeight="1" x14ac:dyDescent="0.3">
      <c r="D5" s="6" t="s">
        <v>50</v>
      </c>
      <c r="G5" s="79"/>
      <c r="H5" s="80"/>
      <c r="J5" s="49"/>
      <c r="L5" s="49"/>
      <c r="N5" s="49"/>
    </row>
    <row r="6" spans="2:15" ht="19.5" customHeight="1" x14ac:dyDescent="0.25">
      <c r="J6" s="49"/>
      <c r="L6" s="49"/>
      <c r="N6" s="49"/>
    </row>
    <row r="7" spans="2:15" ht="19.5" customHeight="1" x14ac:dyDescent="0.25">
      <c r="J7" s="49" t="s">
        <v>69</v>
      </c>
      <c r="L7" s="49" t="s">
        <v>70</v>
      </c>
      <c r="N7" s="49" t="s">
        <v>71</v>
      </c>
    </row>
    <row r="8" spans="2:15" ht="18" customHeight="1" x14ac:dyDescent="0.3">
      <c r="D8" s="6" t="s">
        <v>15</v>
      </c>
      <c r="E8" s="28"/>
      <c r="F8" s="28"/>
      <c r="G8" s="28"/>
      <c r="H8" s="28"/>
      <c r="I8" s="28"/>
      <c r="J8" s="48"/>
      <c r="L8" s="48"/>
      <c r="M8" s="22"/>
      <c r="N8" s="48"/>
      <c r="O8" s="28"/>
    </row>
    <row r="9" spans="2:15" ht="6" customHeight="1" x14ac:dyDescent="0.25"/>
    <row r="10" spans="2:15" ht="15.75" thickBot="1" x14ac:dyDescent="0.3">
      <c r="B10" s="1" t="s">
        <v>7</v>
      </c>
      <c r="C10" s="1"/>
      <c r="D10" s="2"/>
      <c r="E10" s="2"/>
      <c r="F10" s="2"/>
      <c r="G10" s="2"/>
      <c r="H10" s="4" t="s">
        <v>3</v>
      </c>
      <c r="I10" s="3"/>
      <c r="J10" s="4" t="s">
        <v>72</v>
      </c>
      <c r="K10" s="3"/>
      <c r="L10" s="4" t="s">
        <v>73</v>
      </c>
      <c r="M10" s="4"/>
      <c r="N10" s="4" t="s">
        <v>74</v>
      </c>
      <c r="O10" s="2"/>
    </row>
    <row r="11" spans="2:15" ht="9" customHeight="1" x14ac:dyDescent="0.25"/>
    <row r="12" spans="2:15" ht="21.75" customHeight="1" x14ac:dyDescent="0.25">
      <c r="B12" s="9" t="s">
        <v>1</v>
      </c>
      <c r="C12" s="9"/>
      <c r="D12" s="81"/>
      <c r="E12" s="81"/>
      <c r="F12" s="10"/>
      <c r="G12" s="10"/>
      <c r="H12" s="11" t="e">
        <f>J12+L12+N12</f>
        <v>#N/A</v>
      </c>
      <c r="I12" s="10"/>
      <c r="J12" s="11" t="e">
        <f>IF(G5="2020 Fall Quarter or Later",(VLOOKUP(J8,Data!J2:K21,2,FALSE)),(VLOOKUP(J8,Data!A2:B21,2,FALSE)))</f>
        <v>#N/A</v>
      </c>
      <c r="K12" s="10"/>
      <c r="L12" s="11" t="e">
        <f>IF(G5="2020 Fall Quarter or Later",(VLOOKUP(L8,Data!J2:K21,2,FALSE)),(VLOOKUP(L8,Data!A2:B21,2,FALSE)))</f>
        <v>#N/A</v>
      </c>
      <c r="M12" s="11"/>
      <c r="N12" s="11" t="e">
        <f>IF(G5="2020 Fall Quarter or Later",(VLOOKUP(N8,Data!J2:K21,2,FALSE)),(VLOOKUP(N8,Data!A2:B21,2,FALSE)))</f>
        <v>#N/A</v>
      </c>
      <c r="O12" s="10"/>
    </row>
    <row r="13" spans="2:15" ht="21.75" customHeight="1" x14ac:dyDescent="0.25">
      <c r="B13" s="60" t="s">
        <v>0</v>
      </c>
      <c r="C13" s="60"/>
    </row>
    <row r="14" spans="2:15" ht="21.75" customHeight="1" x14ac:dyDescent="0.25">
      <c r="B14" s="12" t="s">
        <v>2</v>
      </c>
      <c r="C14" s="12"/>
      <c r="D14" s="10"/>
      <c r="E14" s="10"/>
      <c r="F14" s="10"/>
      <c r="G14" s="10"/>
      <c r="H14" s="11" t="e">
        <f>J14+L14+N14</f>
        <v>#N/A</v>
      </c>
      <c r="I14" s="10"/>
      <c r="J14" s="11" t="e">
        <f>IF(G5="2020 Fall Quarter or Later",(VLOOKUP(J8,Data!J2:L21,3,FALSE)),(VLOOKUP(J8,Data!A2:C21,3,FALSE)))</f>
        <v>#N/A</v>
      </c>
      <c r="K14" s="10"/>
      <c r="L14" s="11" t="e">
        <f>IF(G5="2020 Fall Quarter or Later",(VLOOKUP(L8,Data!J2:L21,3,FALSE)),(VLOOKUP(L8,Data!A2:C21,3,FALSE)))</f>
        <v>#N/A</v>
      </c>
      <c r="M14" s="11"/>
      <c r="N14" s="11" t="e">
        <f>IF(G5="2020 Fall Quarter or Later",(VLOOKUP(N8,Data!J2:L21,3,FALSE)),(VLOOKUP(N8,Data!A2:C21,3,FALSE)))</f>
        <v>#N/A</v>
      </c>
      <c r="O14" s="10"/>
    </row>
    <row r="15" spans="2:15" ht="21.75" customHeight="1" x14ac:dyDescent="0.25">
      <c r="B15" s="41" t="s">
        <v>17</v>
      </c>
      <c r="C15" s="41"/>
      <c r="H15" s="5" t="e">
        <f>J15+L15+N15</f>
        <v>#N/A</v>
      </c>
      <c r="J15" s="5" t="e">
        <f>IF(J8&lt;&gt;"not enrolled",(VLOOKUP(J8,Data!A2:D21,4,FALSE)),0)</f>
        <v>#N/A</v>
      </c>
      <c r="L15" s="5" t="e">
        <f>IF(L8&lt;&gt;"not enrolled",(VLOOKUP(L8,Data!A2:D21,4,FALSE)),0)</f>
        <v>#N/A</v>
      </c>
      <c r="N15" s="5" t="e">
        <f>IF(N8&lt;&gt;"not enrolled",(VLOOKUP(N8,Data!A2:D21,4,FALSE)),0)</f>
        <v>#N/A</v>
      </c>
    </row>
    <row r="16" spans="2:15" ht="21.75" customHeight="1" x14ac:dyDescent="0.25">
      <c r="B16" s="82" t="s">
        <v>48</v>
      </c>
      <c r="C16" s="82"/>
      <c r="D16" s="82"/>
      <c r="E16" s="83"/>
      <c r="F16" s="31"/>
      <c r="G16" s="29"/>
      <c r="H16" s="30">
        <f>J16+L16+N16</f>
        <v>0</v>
      </c>
      <c r="I16" s="29"/>
      <c r="J16" s="30">
        <f>IF(AND(F16="Yes", J8&lt;&gt;"not enrolled"), (VLOOKUP(F16, Data!A24:C25, 2, FALSE)), 0)</f>
        <v>0</v>
      </c>
      <c r="K16" s="29"/>
      <c r="L16" s="30">
        <v>0</v>
      </c>
      <c r="M16" s="30"/>
      <c r="N16" s="30">
        <f>IF(AND(F16="Yes", N8&lt;&gt;"not enrolled"), (VLOOKUP(F16, Data!A24:C25, 2, FALSE)), 0)</f>
        <v>0</v>
      </c>
      <c r="O16" s="29"/>
    </row>
    <row r="17" spans="2:15" s="25" customFormat="1" ht="21.75" customHeight="1" x14ac:dyDescent="0.25">
      <c r="B17" s="84" t="s">
        <v>47</v>
      </c>
      <c r="C17" s="84"/>
      <c r="D17" s="84"/>
      <c r="E17" s="85"/>
      <c r="F17" s="50"/>
      <c r="G17" s="32"/>
      <c r="H17" s="33">
        <f>J17+L17+N17</f>
        <v>0</v>
      </c>
      <c r="I17" s="32"/>
      <c r="J17" s="33">
        <f>IF(AND(F17="Yes", J8&lt;&gt;"not enrolled",J8&lt;&gt;"4 credits",J8&lt;&gt;"5 credits"), (VLOOKUP(F17,Data!A24:C25, 3, FALSE)), 0)</f>
        <v>0</v>
      </c>
      <c r="K17" s="32"/>
      <c r="L17" s="33">
        <f>IF(AND(F17="Yes", L8&lt;&gt;"not enrolled",L8&lt;&gt;"4 credits",L8&lt;&gt;"5 credits"), (VLOOKUP(F17, Data!A24:C25, 3, FALSE)), 0)</f>
        <v>0</v>
      </c>
      <c r="M17" s="33"/>
      <c r="N17" s="33">
        <f>IF(AND(F17="Yes", N8&lt;&gt;"not enrolled",N8&lt;&gt;"4 credits",N8&lt;&gt;"5 credits"), (VLOOKUP(F17, Data!A24:C25, 3, FALSE)), 0)</f>
        <v>0</v>
      </c>
      <c r="O17" s="32"/>
    </row>
    <row r="18" spans="2:15" ht="21.75" customHeight="1" x14ac:dyDescent="0.25">
      <c r="D18" s="7" t="s">
        <v>6</v>
      </c>
      <c r="H18" s="8" t="e">
        <f>SUM(H12, H14:H17)</f>
        <v>#N/A</v>
      </c>
      <c r="J18" s="8" t="e">
        <f>SUM(J12,J14:J17)</f>
        <v>#N/A</v>
      </c>
      <c r="L18" s="8" t="e">
        <f>SUM(L12,L14:L17)</f>
        <v>#N/A</v>
      </c>
      <c r="M18" s="8"/>
      <c r="N18" s="8" t="e">
        <f>SUM(N12,N14:N17)</f>
        <v>#N/A</v>
      </c>
    </row>
    <row r="19" spans="2:15" ht="24" customHeight="1" x14ac:dyDescent="0.25"/>
    <row r="20" spans="2:15" ht="15.75" thickBot="1" x14ac:dyDescent="0.3">
      <c r="B20" s="1" t="s">
        <v>11</v>
      </c>
      <c r="C20" s="1"/>
      <c r="D20" s="2"/>
      <c r="E20" s="2"/>
      <c r="F20" s="2"/>
      <c r="G20" s="2"/>
      <c r="H20" s="4" t="s">
        <v>3</v>
      </c>
      <c r="I20" s="3"/>
      <c r="J20" s="4" t="s">
        <v>72</v>
      </c>
      <c r="K20" s="3"/>
      <c r="L20" s="4" t="s">
        <v>73</v>
      </c>
      <c r="M20" s="4"/>
      <c r="N20" s="4" t="s">
        <v>74</v>
      </c>
      <c r="O20" s="2"/>
    </row>
    <row r="21" spans="2:15" ht="21.75" customHeight="1" x14ac:dyDescent="0.25">
      <c r="B21" t="s">
        <v>16</v>
      </c>
      <c r="H21" s="15"/>
      <c r="J21" s="5">
        <f>IF((AND(J8&lt;&gt;"not enrolled", L8&lt;&gt;"not enrolled", N8&lt;&gt;"not enrolled")), (H21/3), IF((AND(J8&lt;&gt;"not enrolled", L8&lt;&gt;"not enrolled", N8="not enrolled")), (H21/2), IF((AND(J8&lt;&gt;"not enrolled", L8="not enrolled", N8="not enrolled")), (H21/1), 0)))</f>
        <v>0</v>
      </c>
      <c r="L21" s="5">
        <f>IF((AND(J8&lt;&gt;"not enrolled", L8&lt;&gt;"not enrolled", N8&lt;&gt;"not enrolled")), (H21/3), IF((AND(J8&lt;&gt;"not enrolled", L8&lt;&gt;"not enrolled", N8="not enrolled")), (H21/2), IF((AND(J8="not enrolled", L8&lt;&gt;"not enrolled", N8&lt;&gt;"not enrolled")), (H21/2), 0)))</f>
        <v>0</v>
      </c>
      <c r="N21" s="5">
        <f>IF((AND(J8&lt;&gt;"not enrolled", L8&lt;&gt;"not enrolled", N8&lt;&gt;"not enrolled")), (H21/3), IF((AND(J8="not enrolled", L8&lt;&gt;"not enrolled", N8&lt;&gt;"not enrolled")), (H21/2), IF((AND(J8="not enrolled", L8="not enrolled", N8&lt;&gt;"not enrolled")), (H21), 0)))</f>
        <v>0</v>
      </c>
    </row>
    <row r="22" spans="2:15" ht="21.75" customHeight="1" x14ac:dyDescent="0.25">
      <c r="B22" s="10" t="s">
        <v>8</v>
      </c>
      <c r="C22" s="10"/>
      <c r="D22" s="10"/>
      <c r="E22" s="10"/>
      <c r="F22" s="10"/>
      <c r="G22" s="10"/>
      <c r="H22" s="16"/>
      <c r="I22" s="10"/>
      <c r="J22" s="11">
        <f>IF((AND(J8&lt;&gt;"not enrolled", L8&lt;&gt;"not enrolled", N8&lt;&gt;"not enrolled")), (H22/3), IF((AND(J8&lt;&gt;"not enrolled", L8&lt;&gt;"not enrolled", N8="not enrolled")), (H22/2), IF((AND(J8&lt;&gt;"not enrolled", L8="not enrolled", N8="not enrolled")), (H22/1), 0)))</f>
        <v>0</v>
      </c>
      <c r="K22" s="10"/>
      <c r="L22" s="11">
        <f>IF((AND(J8&lt;&gt;"not enrolled", L8&lt;&gt;"not enrolled", N8&lt;&gt;"not enrolled")), (H22/3), IF((AND(J8&lt;&gt;"not enrolled", L8&lt;&gt;"not enrolled", N8="not enrolled")), (H22/2), IF((AND(J8="not enrolled", L8&lt;&gt;"not enrolled", N8&lt;&gt;"not enrolled")), (H22/2), 0)))</f>
        <v>0</v>
      </c>
      <c r="M22" s="11"/>
      <c r="N22" s="11">
        <f>IF((AND(J8&lt;&gt;"not enrolled", L8&lt;&gt;"not enrolled", N8&lt;&gt;"not enrolled")), (H22/3), IF((AND(J8="not enrolled", L8&lt;&gt;"not enrolled", N8&lt;&gt;"not enrolled")), (H22/2), IF((AND(J8="not enrolled", L8="not enrolled", N8&lt;&gt;"not enrolled")), (H22), 0)))</f>
        <v>0</v>
      </c>
      <c r="O22" s="10"/>
    </row>
    <row r="23" spans="2:15" ht="21.75" customHeight="1" x14ac:dyDescent="0.25">
      <c r="B23" t="s">
        <v>19</v>
      </c>
      <c r="F23" s="17"/>
      <c r="H23" s="5">
        <f>SUM(J23,L23,N23)</f>
        <v>0</v>
      </c>
      <c r="J23" s="5">
        <f>IF((AND(J8&lt;&gt;"not enrolled", L8&lt;&gt;"not enrolled", N8&lt;&gt;"not enrolled")), ROUND(((F23-(F23*0.01057))/3),0), IF((AND(J8&lt;&gt;"not enrolled", L8&lt;&gt;"not enrolled", N8="not enrolled")), ROUND(((F23-(F23*0.01057))/2),0), IF((AND(J8&lt;&gt;"not enrolled", L8="not enrolled", N8="not enrolled")), ROUND(((F23-(F23*0.01057))/1),0), 0)))</f>
        <v>0</v>
      </c>
      <c r="L23" s="5">
        <f>IF((AND(J8&lt;&gt;"not enrolled", L8&lt;&gt;"not enrolled", N8&lt;&gt;"not enrolled")), ROUND(((F23-(F23*0.01057))/3),0), IF((AND(J8&lt;&gt;"not enrolled", L8&lt;&gt;"not enrolled", N8="not enrolled")), ROUND(((F23-(F23*0.01057))/2),0), IF((AND(J8="not enrolled", L8&lt;&gt;"not enrolled", N8&lt;&gt;"not enrolled")), ROUND(((F23-(F23*0.01057))/2),0), 0)))</f>
        <v>0</v>
      </c>
      <c r="N23" s="5">
        <f>IF((AND(J8&lt;&gt;"not enrolled", L8&lt;&gt;"not enrolled", N8&lt;&gt;"not enrolled")), ROUND(((F23-(F23*0.01057))/3),0), IF((AND(J8="not enrolled", L8&lt;&gt;"not enrolled", N8&lt;&gt;"not enrolled")), ROUND(((F23-(F23*0.01057))/2),0), IF((AND(J8="not enrolled", L8="not enrolled", N8&lt;&gt;"not enrolled")), ROUND(((F23-(F23*0.01057))/1),0), 0)))</f>
        <v>0</v>
      </c>
    </row>
    <row r="24" spans="2:15" ht="21.75" customHeight="1" x14ac:dyDescent="0.25">
      <c r="B24" s="10" t="s">
        <v>20</v>
      </c>
      <c r="C24" s="10"/>
      <c r="D24" s="10"/>
      <c r="E24" s="10"/>
      <c r="F24" s="17"/>
      <c r="G24" s="10"/>
      <c r="H24" s="11">
        <f>SUM(J24,L24,N24)</f>
        <v>0</v>
      </c>
      <c r="I24" s="10"/>
      <c r="J24" s="11">
        <f>IF((AND(J8&lt;&gt;"not enrolled", L8&lt;&gt;"not enrolled", N8&lt;&gt;"not enrolled")), ROUND(((F24-(F24*0.04228))/3),0), IF((AND(J8&lt;&gt;"not enrolled", L8&lt;&gt;"not enrolled", N8="not enrolled")), ROUND(((F24-(F24*0.04228))/2),0), IF((AND(J8&lt;&gt;"not enrolled", L8="not enrolled", N8="not enrolled")), ROUND(((F24-(F24*0.04228))/1),0), 0)))</f>
        <v>0</v>
      </c>
      <c r="K24" s="10"/>
      <c r="L24" s="11">
        <f>IF((AND(J8&lt;&gt;"not enrolled", L8&lt;&gt;"not enrolled", N8&lt;&gt;"not enrolled")), ROUND(((F24-(F24*0.04228))/3),0), IF((AND(J8&lt;&gt;"not enrolled", L8&lt;&gt;"not enrolled", N8="not enrolled")), ROUND(((F24-(F24*0.04228))/2),0), IF((AND(J8="not enrolled", L8&lt;&gt;"not enrolled", N8&lt;&gt;"not enrolled")), ROUND(((F24-(F24*0.04228))/2),0), 0)))</f>
        <v>0</v>
      </c>
      <c r="M24" s="11"/>
      <c r="N24" s="11">
        <f>IF((AND(J8&lt;&gt;"not enrolled", L8&lt;&gt;"not enrolled", N8&lt;&gt;"not enrolled")), ROUND(((F24-(F24*0.04228))/3),0), IF((AND(J8="not enrolled", L8&lt;&gt;"not enrolled", N8&lt;&gt;"not enrolled")), ROUND(((F24-(F24*0.04228))/2),0), IF((AND(J8="not enrolled", L8="not enrolled", N8&lt;&gt;"not enrolled")), ROUND(((F24-(F24*0.04228))/1),0), 0)))</f>
        <v>0</v>
      </c>
      <c r="O24" s="10"/>
    </row>
    <row r="25" spans="2:15" ht="21.75" customHeight="1" x14ac:dyDescent="0.25">
      <c r="B25" s="74" t="s">
        <v>23</v>
      </c>
      <c r="C25" s="74"/>
      <c r="D25" s="74"/>
      <c r="E25" s="74"/>
      <c r="F25" s="74"/>
      <c r="H25" s="16"/>
      <c r="J25" s="5">
        <f>IF((AND(J8&lt;&gt;"not enrolled", L8&lt;&gt;"not enrolled", N8&lt;&gt;"not enrolled")), (H25/3), IF((AND(J8&lt;&gt;"not enrolled", L8&lt;&gt;"not enrolled", N8="not enrolled")), (H25/2), IF((AND(J8&lt;&gt;"not enrolled", L8="not enrolled", N8="not enrolled")), (H25/1), 0)))</f>
        <v>0</v>
      </c>
      <c r="L25" s="5">
        <f>IF((AND(J8&lt;&gt;"not enrolled", L8&lt;&gt;"not enrolled", N8&lt;&gt;"not enrolled")), (H25/3), IF((AND(J8&lt;&gt;"not enrolled", L8&lt;&gt;"not enrolled", N8="not enrolled")), (H25/2), IF((AND(J8="not enrolled", L8&lt;&gt;"not enrolled", N8&lt;&gt;"not enrolled")), (H25/2), 0)))</f>
        <v>0</v>
      </c>
      <c r="N25" s="5">
        <f>IF((AND(J8&lt;&gt;"not enrolled", L8&lt;&gt;"not enrolled", N8&lt;&gt;"not enrolled")), (H25/3), IF((AND(J8="not enrolled", L8&lt;&gt;"not enrolled", N8&lt;&gt;"not enrolled")), (H25/2), IF((AND(J8="not enrolled", L8="not enrolled", N8&lt;&gt;"not enrolled")), (H25), 0)))</f>
        <v>0</v>
      </c>
    </row>
    <row r="26" spans="2:15" ht="21.75" customHeight="1" x14ac:dyDescent="0.25">
      <c r="B26" s="75" t="s">
        <v>24</v>
      </c>
      <c r="C26" s="75"/>
      <c r="D26" s="75"/>
      <c r="E26" s="75"/>
      <c r="F26" s="75"/>
      <c r="G26" s="75"/>
      <c r="H26" s="27">
        <f>J26+L26+N26</f>
        <v>0</v>
      </c>
      <c r="I26" s="26"/>
      <c r="J26" s="18"/>
      <c r="K26" s="26"/>
      <c r="L26" s="18"/>
      <c r="M26" s="69"/>
      <c r="N26" s="58"/>
      <c r="O26" s="26"/>
    </row>
    <row r="27" spans="2:15" ht="21.75" customHeight="1" x14ac:dyDescent="0.25">
      <c r="D27" s="7" t="s">
        <v>10</v>
      </c>
      <c r="H27" s="5">
        <f>SUM(H21:H26)</f>
        <v>0</v>
      </c>
      <c r="J27" s="5">
        <f>SUM(J21:J26)</f>
        <v>0</v>
      </c>
      <c r="L27" s="5">
        <f>SUM(L21:L25,L26)</f>
        <v>0</v>
      </c>
      <c r="N27" s="5">
        <f>SUM(N21:N25,N26)</f>
        <v>0</v>
      </c>
    </row>
    <row r="28" spans="2:15" ht="15.75" thickBot="1" x14ac:dyDescent="0.3"/>
    <row r="29" spans="2:15" ht="21.75" customHeight="1" thickTop="1" thickBot="1" x14ac:dyDescent="0.35">
      <c r="B29" s="14" t="s">
        <v>12</v>
      </c>
      <c r="C29" s="14"/>
      <c r="D29" s="13"/>
      <c r="E29" s="13"/>
      <c r="F29" s="13"/>
      <c r="G29" s="13"/>
      <c r="H29" s="23" t="e">
        <f>H18-H27</f>
        <v>#N/A</v>
      </c>
      <c r="I29" s="24"/>
      <c r="J29" s="23" t="e">
        <f>J18-J27</f>
        <v>#N/A</v>
      </c>
      <c r="K29" s="24"/>
      <c r="L29" s="23" t="e">
        <f>L18-L27</f>
        <v>#N/A</v>
      </c>
      <c r="M29" s="23"/>
      <c r="N29" s="23" t="e">
        <f>N18-N27</f>
        <v>#N/A</v>
      </c>
      <c r="O29" s="13"/>
    </row>
    <row r="30" spans="2:15" ht="15.75" thickTop="1" x14ac:dyDescent="0.25"/>
    <row r="31" spans="2:15" x14ac:dyDescent="0.25">
      <c r="B31" s="7" t="s">
        <v>13</v>
      </c>
      <c r="C31" s="7"/>
    </row>
    <row r="32" spans="2:15" ht="21.75" customHeight="1" x14ac:dyDescent="0.25">
      <c r="B32" s="57">
        <v>1</v>
      </c>
      <c r="C32" s="55" t="str">
        <f>IF(G5="2020 Fall Quarter or Later",Data!A46,Data!A50)</f>
        <v>Tuition for the 2022-2023 academic year is $1,535 per credit. If enrolled in 12-18 credits, tuition will be charged a flat rate of $18,420.</v>
      </c>
      <c r="D32" s="56"/>
      <c r="E32" s="56"/>
      <c r="F32" s="56"/>
      <c r="G32" s="56"/>
      <c r="H32" s="56"/>
      <c r="I32" s="56"/>
      <c r="J32" s="56"/>
      <c r="K32" s="56"/>
      <c r="L32" s="56"/>
      <c r="M32" s="56"/>
      <c r="N32" s="56"/>
      <c r="O32" s="56"/>
    </row>
    <row r="33" spans="2:15" ht="18" customHeight="1" x14ac:dyDescent="0.25">
      <c r="B33" s="54">
        <v>2</v>
      </c>
      <c r="C33" s="55" t="s">
        <v>49</v>
      </c>
      <c r="D33" s="55"/>
      <c r="E33" s="55"/>
      <c r="F33" s="55"/>
      <c r="G33" s="55"/>
      <c r="H33" s="55"/>
      <c r="I33" s="55"/>
      <c r="J33" s="55"/>
      <c r="K33" s="55"/>
      <c r="L33" s="55"/>
      <c r="M33" s="55"/>
      <c r="N33" s="55"/>
      <c r="O33" s="55"/>
    </row>
    <row r="34" spans="2:15" ht="18" customHeight="1" x14ac:dyDescent="0.25">
      <c r="B34" s="54">
        <v>3</v>
      </c>
      <c r="C34" t="s">
        <v>58</v>
      </c>
    </row>
    <row r="35" spans="2:15" ht="46.5" customHeight="1" x14ac:dyDescent="0.25">
      <c r="B35" s="53">
        <v>4</v>
      </c>
      <c r="C35" s="76" t="s">
        <v>59</v>
      </c>
      <c r="D35" s="76"/>
      <c r="E35" s="76"/>
      <c r="F35" s="76"/>
      <c r="G35" s="76"/>
      <c r="H35" s="76"/>
      <c r="I35" s="76"/>
      <c r="J35" s="76"/>
      <c r="K35" s="76"/>
      <c r="L35" s="76"/>
      <c r="M35" s="76"/>
      <c r="N35" s="76"/>
      <c r="O35" s="76"/>
    </row>
    <row r="36" spans="2:15" ht="21.75" customHeight="1" x14ac:dyDescent="0.25"/>
    <row r="38" spans="2:15" x14ac:dyDescent="0.25">
      <c r="B38" s="70" t="s">
        <v>14</v>
      </c>
      <c r="C38" s="70"/>
      <c r="D38" s="70"/>
      <c r="E38" s="70"/>
      <c r="F38" s="70"/>
      <c r="G38" s="70"/>
      <c r="H38" s="70"/>
      <c r="I38" s="70"/>
      <c r="J38" s="70"/>
      <c r="K38" s="70"/>
      <c r="L38" s="70"/>
      <c r="M38" s="70"/>
      <c r="N38" s="70"/>
      <c r="O38" s="70"/>
    </row>
  </sheetData>
  <sheetProtection algorithmName="SHA-512" hashValue="X0mi7W4jqWQHRO35D2H6TTe2qTzf5BoaPtk+lTA0rwMKLKJr8LMvBLfTBFA0pdalwjqNFqwO4GCW+AL9AhqYjw==" saltValue="9PJ4UmCaGw9V3+nQvCaJkQ==" spinCount="100000" sheet="1" objects="1" scenarios="1" selectLockedCells="1"/>
  <mergeCells count="9">
    <mergeCell ref="B25:F25"/>
    <mergeCell ref="B26:G26"/>
    <mergeCell ref="C35:O35"/>
    <mergeCell ref="B38:O38"/>
    <mergeCell ref="H2:O2"/>
    <mergeCell ref="G5:H5"/>
    <mergeCell ref="D12:E12"/>
    <mergeCell ref="B16:E16"/>
    <mergeCell ref="B17:E17"/>
  </mergeCells>
  <hyperlinks>
    <hyperlink ref="B16" r:id="rId1" display="Will you enroll in DU's health insurance plan?" xr:uid="{00000000-0004-0000-0400-000000000000}"/>
    <hyperlink ref="B17" r:id="rId2" display="Will you use DU Health &amp; Counseling Services? " xr:uid="{00000000-0004-0000-04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Data!$A$2:$A$21</xm:f>
          </x14:formula1>
          <xm:sqref>L8 J8 N8</xm:sqref>
        </x14:dataValidation>
        <x14:dataValidation type="list" allowBlank="1" showInputMessage="1" showErrorMessage="1" xr:uid="{00000000-0002-0000-0400-000001000000}">
          <x14:formula1>
            <xm:f>Data!$A$24:$A$25</xm:f>
          </x14:formula1>
          <xm:sqref>F16:F17</xm:sqref>
        </x14:dataValidation>
        <x14:dataValidation type="list" allowBlank="1" showInputMessage="1" showErrorMessage="1" xr:uid="{00000000-0002-0000-0400-000002000000}">
          <x14:formula1>
            <xm:f>Data!$A$27:$A$28</xm:f>
          </x14:formula1>
          <xm:sqref>G5:H5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61"/>
  <sheetViews>
    <sheetView showGridLines="0" workbookViewId="0">
      <selection activeCell="A51" sqref="A51"/>
    </sheetView>
  </sheetViews>
  <sheetFormatPr defaultColWidth="8.85546875" defaultRowHeight="15" x14ac:dyDescent="0.25"/>
  <cols>
    <col min="1" max="1" width="11.140625" customWidth="1"/>
    <col min="4" max="4" width="10.85546875" customWidth="1"/>
    <col min="5" max="5" width="12.140625" bestFit="1" customWidth="1"/>
    <col min="6" max="10" width="11.85546875" customWidth="1"/>
    <col min="11" max="11" width="12" bestFit="1" customWidth="1"/>
    <col min="12" max="13" width="11.85546875" customWidth="1"/>
    <col min="14" max="14" width="13.28515625" customWidth="1"/>
    <col min="16" max="16" width="11.7109375" customWidth="1"/>
  </cols>
  <sheetData>
    <row r="1" spans="1:22" x14ac:dyDescent="0.25">
      <c r="A1" s="7" t="s">
        <v>21</v>
      </c>
      <c r="D1" s="7" t="s">
        <v>44</v>
      </c>
      <c r="F1" s="66">
        <v>1122</v>
      </c>
      <c r="J1" s="66">
        <v>1535</v>
      </c>
    </row>
    <row r="2" spans="1:22" x14ac:dyDescent="0.25">
      <c r="A2" s="35" t="s">
        <v>42</v>
      </c>
      <c r="B2">
        <v>0</v>
      </c>
      <c r="C2">
        <v>0</v>
      </c>
      <c r="D2">
        <v>0</v>
      </c>
      <c r="F2" s="35" t="s">
        <v>42</v>
      </c>
      <c r="G2" s="35">
        <v>0</v>
      </c>
      <c r="H2">
        <v>0</v>
      </c>
      <c r="J2" s="35" t="s">
        <v>42</v>
      </c>
      <c r="K2" s="56">
        <v>0</v>
      </c>
      <c r="L2">
        <v>0</v>
      </c>
      <c r="M2" s="56"/>
      <c r="N2" s="56"/>
      <c r="O2" s="56"/>
      <c r="P2" s="56"/>
      <c r="Q2" s="56"/>
      <c r="R2" s="56"/>
      <c r="S2" s="56"/>
      <c r="T2" s="56"/>
      <c r="U2" s="56"/>
      <c r="V2" s="56"/>
    </row>
    <row r="3" spans="1:22" x14ac:dyDescent="0.25">
      <c r="A3" t="s">
        <v>25</v>
      </c>
      <c r="B3">
        <v>6140</v>
      </c>
      <c r="C3">
        <v>16</v>
      </c>
      <c r="D3">
        <v>57</v>
      </c>
      <c r="F3" t="s">
        <v>25</v>
      </c>
      <c r="G3">
        <v>4488</v>
      </c>
      <c r="H3">
        <v>16</v>
      </c>
      <c r="J3" t="s">
        <v>25</v>
      </c>
      <c r="K3">
        <v>6140</v>
      </c>
      <c r="L3">
        <v>16</v>
      </c>
      <c r="M3" s="56"/>
      <c r="N3" s="56"/>
      <c r="O3" s="56"/>
      <c r="P3" s="56"/>
      <c r="Q3" s="56"/>
      <c r="R3" s="56"/>
      <c r="S3" s="56"/>
      <c r="T3" s="56"/>
      <c r="U3" s="56"/>
      <c r="V3" s="56"/>
    </row>
    <row r="4" spans="1:22" x14ac:dyDescent="0.25">
      <c r="A4" t="s">
        <v>26</v>
      </c>
      <c r="B4">
        <v>7675</v>
      </c>
      <c r="C4">
        <v>20</v>
      </c>
      <c r="D4">
        <v>57</v>
      </c>
      <c r="F4" t="s">
        <v>26</v>
      </c>
      <c r="G4">
        <v>5610</v>
      </c>
      <c r="H4">
        <v>20</v>
      </c>
      <c r="J4" t="s">
        <v>26</v>
      </c>
      <c r="K4">
        <v>7675</v>
      </c>
      <c r="L4">
        <v>20</v>
      </c>
    </row>
    <row r="5" spans="1:22" x14ac:dyDescent="0.25">
      <c r="A5" t="s">
        <v>27</v>
      </c>
      <c r="B5">
        <v>9210</v>
      </c>
      <c r="C5">
        <v>24</v>
      </c>
      <c r="D5">
        <v>57</v>
      </c>
      <c r="F5" t="s">
        <v>27</v>
      </c>
      <c r="G5">
        <v>6732</v>
      </c>
      <c r="H5">
        <v>24</v>
      </c>
      <c r="J5" t="s">
        <v>27</v>
      </c>
      <c r="K5">
        <v>9210</v>
      </c>
      <c r="L5">
        <v>24</v>
      </c>
    </row>
    <row r="6" spans="1:22" x14ac:dyDescent="0.25">
      <c r="A6" t="s">
        <v>28</v>
      </c>
      <c r="B6">
        <v>10745</v>
      </c>
      <c r="C6">
        <v>28</v>
      </c>
      <c r="D6">
        <v>57</v>
      </c>
      <c r="F6" t="s">
        <v>28</v>
      </c>
      <c r="G6">
        <v>7854</v>
      </c>
      <c r="H6">
        <v>28</v>
      </c>
      <c r="J6" t="s">
        <v>28</v>
      </c>
      <c r="K6">
        <v>10745</v>
      </c>
      <c r="L6">
        <v>28</v>
      </c>
    </row>
    <row r="7" spans="1:22" x14ac:dyDescent="0.25">
      <c r="A7" t="s">
        <v>29</v>
      </c>
      <c r="B7">
        <v>12280</v>
      </c>
      <c r="C7">
        <v>32</v>
      </c>
      <c r="D7">
        <v>57</v>
      </c>
      <c r="F7" t="s">
        <v>29</v>
      </c>
      <c r="G7">
        <v>8976</v>
      </c>
      <c r="H7">
        <v>32</v>
      </c>
      <c r="J7" t="s">
        <v>29</v>
      </c>
      <c r="K7">
        <v>12280</v>
      </c>
      <c r="L7">
        <v>32</v>
      </c>
    </row>
    <row r="8" spans="1:22" x14ac:dyDescent="0.25">
      <c r="A8" t="s">
        <v>30</v>
      </c>
      <c r="B8">
        <v>13815</v>
      </c>
      <c r="C8">
        <v>36</v>
      </c>
      <c r="D8">
        <v>57</v>
      </c>
      <c r="F8" t="s">
        <v>30</v>
      </c>
      <c r="G8">
        <v>10098</v>
      </c>
      <c r="H8">
        <v>36</v>
      </c>
      <c r="J8" t="s">
        <v>30</v>
      </c>
      <c r="K8">
        <v>13815</v>
      </c>
      <c r="L8">
        <v>36</v>
      </c>
    </row>
    <row r="9" spans="1:22" x14ac:dyDescent="0.25">
      <c r="A9" t="s">
        <v>31</v>
      </c>
      <c r="B9">
        <v>15350</v>
      </c>
      <c r="C9">
        <v>40</v>
      </c>
      <c r="D9">
        <v>57</v>
      </c>
      <c r="F9" t="s">
        <v>31</v>
      </c>
      <c r="G9">
        <v>11220</v>
      </c>
      <c r="H9">
        <v>40</v>
      </c>
      <c r="J9" t="s">
        <v>31</v>
      </c>
      <c r="K9">
        <v>15350</v>
      </c>
      <c r="L9">
        <v>40</v>
      </c>
    </row>
    <row r="10" spans="1:22" x14ac:dyDescent="0.25">
      <c r="A10" t="s">
        <v>32</v>
      </c>
      <c r="B10">
        <v>16885</v>
      </c>
      <c r="C10">
        <v>44</v>
      </c>
      <c r="D10">
        <v>57</v>
      </c>
      <c r="F10" t="s">
        <v>32</v>
      </c>
      <c r="G10">
        <v>12342</v>
      </c>
      <c r="H10">
        <v>44</v>
      </c>
      <c r="J10" t="s">
        <v>32</v>
      </c>
      <c r="K10">
        <v>16885</v>
      </c>
      <c r="L10">
        <v>44</v>
      </c>
    </row>
    <row r="11" spans="1:22" x14ac:dyDescent="0.25">
      <c r="A11" t="s">
        <v>33</v>
      </c>
      <c r="B11">
        <v>18420</v>
      </c>
      <c r="C11">
        <v>48</v>
      </c>
      <c r="D11">
        <v>57</v>
      </c>
      <c r="F11" t="s">
        <v>33</v>
      </c>
      <c r="G11">
        <v>13464</v>
      </c>
      <c r="H11">
        <v>48</v>
      </c>
      <c r="J11" t="s">
        <v>33</v>
      </c>
      <c r="K11">
        <v>18420</v>
      </c>
      <c r="L11">
        <v>48</v>
      </c>
    </row>
    <row r="12" spans="1:22" x14ac:dyDescent="0.25">
      <c r="A12" t="s">
        <v>34</v>
      </c>
      <c r="B12">
        <v>18420</v>
      </c>
      <c r="C12">
        <v>48</v>
      </c>
      <c r="D12">
        <v>57</v>
      </c>
      <c r="F12" t="s">
        <v>34</v>
      </c>
      <c r="G12">
        <v>14586</v>
      </c>
      <c r="H12">
        <v>52</v>
      </c>
      <c r="J12" t="s">
        <v>34</v>
      </c>
      <c r="K12">
        <v>19955</v>
      </c>
      <c r="L12">
        <v>52</v>
      </c>
    </row>
    <row r="13" spans="1:22" x14ac:dyDescent="0.25">
      <c r="A13" t="s">
        <v>35</v>
      </c>
      <c r="B13">
        <v>18420</v>
      </c>
      <c r="C13">
        <v>48</v>
      </c>
      <c r="D13">
        <v>57</v>
      </c>
      <c r="F13" t="s">
        <v>35</v>
      </c>
      <c r="G13">
        <v>15708</v>
      </c>
      <c r="H13">
        <v>56</v>
      </c>
      <c r="J13" t="s">
        <v>35</v>
      </c>
      <c r="K13">
        <v>21490</v>
      </c>
      <c r="L13">
        <v>56</v>
      </c>
    </row>
    <row r="14" spans="1:22" x14ac:dyDescent="0.25">
      <c r="A14" t="s">
        <v>36</v>
      </c>
      <c r="B14">
        <v>18420</v>
      </c>
      <c r="C14">
        <v>48</v>
      </c>
      <c r="D14">
        <v>57</v>
      </c>
      <c r="F14" t="s">
        <v>36</v>
      </c>
      <c r="G14">
        <v>16830</v>
      </c>
      <c r="H14">
        <v>60</v>
      </c>
      <c r="J14" t="s">
        <v>36</v>
      </c>
      <c r="K14">
        <v>23025</v>
      </c>
      <c r="L14">
        <v>60</v>
      </c>
    </row>
    <row r="15" spans="1:22" x14ac:dyDescent="0.25">
      <c r="A15" t="s">
        <v>37</v>
      </c>
      <c r="B15">
        <v>18420</v>
      </c>
      <c r="C15">
        <v>48</v>
      </c>
      <c r="D15">
        <v>57</v>
      </c>
      <c r="F15" t="s">
        <v>37</v>
      </c>
      <c r="G15">
        <v>17952</v>
      </c>
      <c r="H15">
        <v>64</v>
      </c>
      <c r="J15" t="s">
        <v>37</v>
      </c>
      <c r="K15">
        <v>24560</v>
      </c>
      <c r="L15">
        <v>64</v>
      </c>
    </row>
    <row r="16" spans="1:22" x14ac:dyDescent="0.25">
      <c r="A16" t="s">
        <v>38</v>
      </c>
      <c r="B16">
        <v>18420</v>
      </c>
      <c r="C16">
        <v>48</v>
      </c>
      <c r="D16">
        <v>57</v>
      </c>
      <c r="F16" t="s">
        <v>38</v>
      </c>
      <c r="G16">
        <v>19074</v>
      </c>
      <c r="H16">
        <v>68</v>
      </c>
      <c r="J16" t="s">
        <v>38</v>
      </c>
      <c r="K16">
        <v>26095</v>
      </c>
      <c r="L16">
        <v>68</v>
      </c>
    </row>
    <row r="17" spans="1:18" x14ac:dyDescent="0.25">
      <c r="A17" t="s">
        <v>39</v>
      </c>
      <c r="B17">
        <v>18420</v>
      </c>
      <c r="C17">
        <v>48</v>
      </c>
      <c r="D17">
        <v>57</v>
      </c>
      <c r="F17" t="s">
        <v>39</v>
      </c>
      <c r="G17">
        <v>20196</v>
      </c>
      <c r="H17">
        <v>72</v>
      </c>
      <c r="J17" t="s">
        <v>39</v>
      </c>
      <c r="K17">
        <v>27630</v>
      </c>
      <c r="L17">
        <v>72</v>
      </c>
    </row>
    <row r="18" spans="1:18" x14ac:dyDescent="0.25">
      <c r="A18" t="s">
        <v>40</v>
      </c>
      <c r="B18">
        <v>19955</v>
      </c>
      <c r="C18">
        <v>52</v>
      </c>
      <c r="D18">
        <v>57</v>
      </c>
      <c r="F18" t="s">
        <v>40</v>
      </c>
      <c r="G18">
        <v>21318</v>
      </c>
      <c r="H18">
        <v>76</v>
      </c>
      <c r="J18" t="s">
        <v>40</v>
      </c>
      <c r="K18">
        <v>29165</v>
      </c>
      <c r="L18">
        <v>76</v>
      </c>
    </row>
    <row r="19" spans="1:18" x14ac:dyDescent="0.25">
      <c r="A19" t="s">
        <v>41</v>
      </c>
      <c r="B19">
        <v>21490</v>
      </c>
      <c r="C19">
        <v>56</v>
      </c>
      <c r="D19">
        <v>57</v>
      </c>
      <c r="F19" t="s">
        <v>41</v>
      </c>
      <c r="G19">
        <v>22440</v>
      </c>
      <c r="H19">
        <v>80</v>
      </c>
      <c r="J19" t="s">
        <v>41</v>
      </c>
      <c r="K19">
        <v>30700</v>
      </c>
      <c r="L19">
        <v>80</v>
      </c>
    </row>
    <row r="20" spans="1:18" x14ac:dyDescent="0.25">
      <c r="A20" t="s">
        <v>45</v>
      </c>
      <c r="B20">
        <v>23025</v>
      </c>
      <c r="C20">
        <v>60</v>
      </c>
      <c r="D20">
        <v>57</v>
      </c>
      <c r="F20" t="s">
        <v>45</v>
      </c>
      <c r="G20">
        <v>23562</v>
      </c>
      <c r="H20">
        <v>84</v>
      </c>
      <c r="J20" t="s">
        <v>45</v>
      </c>
      <c r="K20">
        <v>32235</v>
      </c>
      <c r="L20">
        <v>84</v>
      </c>
    </row>
    <row r="21" spans="1:18" x14ac:dyDescent="0.25">
      <c r="A21" t="s">
        <v>46</v>
      </c>
      <c r="B21">
        <v>24560</v>
      </c>
      <c r="C21">
        <v>64</v>
      </c>
      <c r="D21">
        <v>57</v>
      </c>
      <c r="F21" t="s">
        <v>46</v>
      </c>
      <c r="G21">
        <v>24684</v>
      </c>
      <c r="H21">
        <v>88</v>
      </c>
      <c r="J21" t="s">
        <v>46</v>
      </c>
      <c r="K21">
        <v>33770</v>
      </c>
      <c r="L21">
        <v>88</v>
      </c>
    </row>
    <row r="23" spans="1:18" x14ac:dyDescent="0.25">
      <c r="A23" s="7" t="s">
        <v>22</v>
      </c>
      <c r="E23" s="7"/>
      <c r="F23" s="67">
        <v>767</v>
      </c>
      <c r="G23" s="7"/>
      <c r="H23" s="7"/>
      <c r="I23" s="7"/>
      <c r="J23" s="66"/>
      <c r="K23" s="7"/>
      <c r="M23" s="7"/>
      <c r="N23" s="67"/>
      <c r="P23" s="7"/>
      <c r="Q23" s="7"/>
      <c r="R23" s="7"/>
    </row>
    <row r="24" spans="1:18" x14ac:dyDescent="0.25">
      <c r="A24" t="s">
        <v>4</v>
      </c>
      <c r="B24">
        <v>1810</v>
      </c>
      <c r="C24">
        <v>225</v>
      </c>
      <c r="E24" s="35"/>
      <c r="F24" s="35" t="s">
        <v>42</v>
      </c>
      <c r="G24" s="35">
        <v>0</v>
      </c>
      <c r="H24">
        <v>0</v>
      </c>
      <c r="J24" s="35"/>
      <c r="K24" s="35"/>
      <c r="M24" s="35"/>
      <c r="N24" s="35"/>
    </row>
    <row r="25" spans="1:18" x14ac:dyDescent="0.25">
      <c r="A25" t="s">
        <v>5</v>
      </c>
      <c r="B25">
        <v>0</v>
      </c>
      <c r="C25">
        <v>0</v>
      </c>
      <c r="F25" t="s">
        <v>25</v>
      </c>
      <c r="G25" s="35">
        <v>3068</v>
      </c>
      <c r="H25">
        <v>16</v>
      </c>
      <c r="K25" s="35"/>
      <c r="M25" s="35"/>
    </row>
    <row r="26" spans="1:18" x14ac:dyDescent="0.25">
      <c r="F26" t="s">
        <v>26</v>
      </c>
      <c r="G26" s="35">
        <v>3835</v>
      </c>
      <c r="H26">
        <v>20</v>
      </c>
      <c r="K26" s="35"/>
      <c r="M26" s="35"/>
    </row>
    <row r="27" spans="1:18" x14ac:dyDescent="0.25">
      <c r="A27" t="s">
        <v>51</v>
      </c>
      <c r="F27" t="s">
        <v>27</v>
      </c>
      <c r="G27" s="35">
        <v>4602</v>
      </c>
      <c r="H27">
        <v>24</v>
      </c>
      <c r="K27" s="35"/>
      <c r="M27" s="35"/>
    </row>
    <row r="28" spans="1:18" x14ac:dyDescent="0.25">
      <c r="A28" t="s">
        <v>52</v>
      </c>
      <c r="F28" t="s">
        <v>28</v>
      </c>
      <c r="G28" s="35">
        <v>5369</v>
      </c>
      <c r="H28">
        <v>28</v>
      </c>
      <c r="K28" s="35"/>
      <c r="M28" s="35"/>
    </row>
    <row r="29" spans="1:18" x14ac:dyDescent="0.25">
      <c r="F29" t="s">
        <v>29</v>
      </c>
      <c r="G29" s="35">
        <v>6136</v>
      </c>
      <c r="H29">
        <v>32</v>
      </c>
      <c r="K29" s="35"/>
      <c r="M29" s="35"/>
    </row>
    <row r="30" spans="1:18" x14ac:dyDescent="0.25">
      <c r="F30" t="s">
        <v>30</v>
      </c>
      <c r="G30" s="35">
        <v>6903</v>
      </c>
      <c r="H30">
        <v>36</v>
      </c>
      <c r="K30" s="35"/>
      <c r="M30" s="35"/>
    </row>
    <row r="31" spans="1:18" x14ac:dyDescent="0.25">
      <c r="F31" t="s">
        <v>31</v>
      </c>
      <c r="G31" s="35">
        <v>7670</v>
      </c>
      <c r="H31">
        <v>40</v>
      </c>
      <c r="K31" s="35"/>
      <c r="M31" s="35"/>
    </row>
    <row r="32" spans="1:18" x14ac:dyDescent="0.25">
      <c r="F32" t="s">
        <v>32</v>
      </c>
      <c r="G32" s="35">
        <v>8437</v>
      </c>
      <c r="H32">
        <v>44</v>
      </c>
      <c r="K32" s="35"/>
      <c r="M32" s="35"/>
    </row>
    <row r="33" spans="1:13" x14ac:dyDescent="0.25">
      <c r="F33" t="s">
        <v>33</v>
      </c>
      <c r="G33" s="35">
        <v>9204</v>
      </c>
      <c r="H33">
        <v>48</v>
      </c>
      <c r="K33" s="35"/>
      <c r="M33" s="35"/>
    </row>
    <row r="34" spans="1:13" x14ac:dyDescent="0.25">
      <c r="F34" t="s">
        <v>34</v>
      </c>
      <c r="G34" s="35">
        <v>9971</v>
      </c>
      <c r="H34">
        <v>52</v>
      </c>
      <c r="K34" s="35"/>
      <c r="M34" s="35"/>
    </row>
    <row r="35" spans="1:13" x14ac:dyDescent="0.25">
      <c r="F35" t="s">
        <v>35</v>
      </c>
      <c r="G35" s="35">
        <v>10738</v>
      </c>
      <c r="H35">
        <v>56</v>
      </c>
      <c r="K35" s="35"/>
      <c r="M35" s="35"/>
    </row>
    <row r="36" spans="1:13" x14ac:dyDescent="0.25">
      <c r="F36" t="s">
        <v>36</v>
      </c>
      <c r="G36" s="35">
        <v>11505</v>
      </c>
      <c r="H36">
        <v>60</v>
      </c>
      <c r="K36" s="35"/>
      <c r="M36" s="35"/>
    </row>
    <row r="37" spans="1:13" x14ac:dyDescent="0.25">
      <c r="F37" t="s">
        <v>37</v>
      </c>
      <c r="G37" s="35">
        <v>12272</v>
      </c>
      <c r="H37">
        <v>64</v>
      </c>
      <c r="K37" s="35"/>
      <c r="M37" s="35"/>
    </row>
    <row r="38" spans="1:13" x14ac:dyDescent="0.25">
      <c r="F38" t="s">
        <v>38</v>
      </c>
      <c r="G38" s="35">
        <v>13039</v>
      </c>
      <c r="H38">
        <v>68</v>
      </c>
      <c r="K38" s="35"/>
      <c r="M38" s="35"/>
    </row>
    <row r="39" spans="1:13" x14ac:dyDescent="0.25">
      <c r="F39" t="s">
        <v>39</v>
      </c>
      <c r="G39" s="35">
        <v>13806</v>
      </c>
      <c r="H39">
        <v>72</v>
      </c>
      <c r="K39" s="35"/>
      <c r="M39" s="35"/>
    </row>
    <row r="40" spans="1:13" x14ac:dyDescent="0.25">
      <c r="F40" t="s">
        <v>40</v>
      </c>
      <c r="G40" s="35">
        <v>14573</v>
      </c>
      <c r="H40">
        <v>76</v>
      </c>
      <c r="K40" s="35"/>
      <c r="M40" s="35"/>
    </row>
    <row r="41" spans="1:13" x14ac:dyDescent="0.25">
      <c r="F41" t="s">
        <v>41</v>
      </c>
      <c r="G41" s="35">
        <v>15340</v>
      </c>
      <c r="H41">
        <v>80</v>
      </c>
      <c r="K41" s="35"/>
      <c r="M41" s="35"/>
    </row>
    <row r="42" spans="1:13" x14ac:dyDescent="0.25">
      <c r="F42" t="s">
        <v>45</v>
      </c>
      <c r="G42" s="35">
        <v>16107</v>
      </c>
      <c r="H42">
        <v>84</v>
      </c>
      <c r="K42" s="35"/>
    </row>
    <row r="43" spans="1:13" x14ac:dyDescent="0.25">
      <c r="E43" s="7"/>
      <c r="F43" t="s">
        <v>46</v>
      </c>
      <c r="G43" s="35">
        <v>16874</v>
      </c>
      <c r="H43">
        <v>88</v>
      </c>
      <c r="I43" s="7"/>
      <c r="K43" s="35"/>
    </row>
    <row r="44" spans="1:13" x14ac:dyDescent="0.25">
      <c r="E44" s="35"/>
      <c r="F44" s="35"/>
      <c r="G44" s="35"/>
    </row>
    <row r="45" spans="1:13" x14ac:dyDescent="0.25">
      <c r="F45" s="35"/>
      <c r="G45" s="35"/>
    </row>
    <row r="46" spans="1:13" x14ac:dyDescent="0.25">
      <c r="A46" t="s">
        <v>64</v>
      </c>
      <c r="F46" s="35"/>
      <c r="G46" s="35"/>
    </row>
    <row r="47" spans="1:13" x14ac:dyDescent="0.25">
      <c r="A47" t="s">
        <v>65</v>
      </c>
      <c r="F47" s="35"/>
      <c r="G47" s="35"/>
    </row>
    <row r="48" spans="1:13" x14ac:dyDescent="0.25">
      <c r="A48" t="s">
        <v>66</v>
      </c>
      <c r="F48" s="35"/>
      <c r="G48" s="35"/>
    </row>
    <row r="49" spans="1:7" x14ac:dyDescent="0.25">
      <c r="F49" s="35"/>
      <c r="G49" s="35"/>
    </row>
    <row r="50" spans="1:7" x14ac:dyDescent="0.25">
      <c r="A50" t="s">
        <v>67</v>
      </c>
      <c r="F50" s="35"/>
      <c r="G50" s="35"/>
    </row>
    <row r="51" spans="1:7" x14ac:dyDescent="0.25">
      <c r="F51" s="35"/>
      <c r="G51" s="35"/>
    </row>
    <row r="52" spans="1:7" x14ac:dyDescent="0.25">
      <c r="F52" s="35"/>
      <c r="G52" s="35"/>
    </row>
    <row r="53" spans="1:7" x14ac:dyDescent="0.25">
      <c r="F53" s="35"/>
      <c r="G53" s="35"/>
    </row>
    <row r="54" spans="1:7" x14ac:dyDescent="0.25">
      <c r="F54" s="35"/>
      <c r="G54" s="35"/>
    </row>
    <row r="55" spans="1:7" x14ac:dyDescent="0.25">
      <c r="F55" s="35"/>
      <c r="G55" s="35"/>
    </row>
    <row r="56" spans="1:7" x14ac:dyDescent="0.25">
      <c r="F56" s="35"/>
      <c r="G56" s="35"/>
    </row>
    <row r="57" spans="1:7" x14ac:dyDescent="0.25">
      <c r="F57" s="35"/>
      <c r="G57" s="35"/>
    </row>
    <row r="58" spans="1:7" x14ac:dyDescent="0.25">
      <c r="F58" s="35"/>
      <c r="G58" s="35"/>
    </row>
    <row r="59" spans="1:7" x14ac:dyDescent="0.25">
      <c r="F59" s="35"/>
      <c r="G59" s="35"/>
    </row>
    <row r="60" spans="1:7" x14ac:dyDescent="0.25">
      <c r="F60" s="35"/>
      <c r="G60" s="35"/>
    </row>
    <row r="61" spans="1:7" x14ac:dyDescent="0.25">
      <c r="F61" s="35"/>
      <c r="G61" s="35"/>
    </row>
  </sheetData>
  <sheetProtection algorithmName="SHA-512" hashValue="VIOSYuQorohqGKhBAnUDiDUXX1+deECtImRwrJ6vSHLtN7dJQIRtbkXN84foYqIOUnGd4gLVOsS/gnqZaZ9w1Q==" saltValue="8cWzN/cg2jTLnV3wd2sETg==" spinCount="100000" sheet="1" objects="1" scenarios="1"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6</vt:i4>
      </vt:variant>
    </vt:vector>
  </HeadingPairs>
  <TitlesOfParts>
    <vt:vector size="6" baseType="lpstr">
      <vt:lpstr>Worksheets Home</vt:lpstr>
      <vt:lpstr>Cyber Sec.</vt:lpstr>
      <vt:lpstr>Data Sci</vt:lpstr>
      <vt:lpstr>Data Sci - Online</vt:lpstr>
      <vt:lpstr>All Other</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Lisa Westendorf</cp:lastModifiedBy>
  <cp:lastPrinted>2019-02-07T21:36:17Z</cp:lastPrinted>
  <dcterms:created xsi:type="dcterms:W3CDTF">2018-06-06T22:54:45Z</dcterms:created>
  <dcterms:modified xsi:type="dcterms:W3CDTF">2022-03-03T21:35:03Z</dcterms:modified>
</cp:coreProperties>
</file>