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inancial Aid\Communication\1920\Award Resources\Grad\"/>
    </mc:Choice>
  </mc:AlternateContent>
  <bookViews>
    <workbookView xWindow="0" yWindow="0" windowWidth="19170" windowHeight="4470" tabRatio="721"/>
  </bookViews>
  <sheets>
    <sheet name="Worksheets Home" sheetId="4" r:id="rId1"/>
    <sheet name="Flat-Rate Programs" sheetId="1" r:id="rId2"/>
    <sheet name="Music" sheetId="23" r:id="rId3"/>
    <sheet name="Denver MBA" sheetId="12" r:id="rId4"/>
    <sheet name="PMBA" sheetId="14" r:id="rId5"/>
    <sheet name="EMBA" sheetId="13" r:id="rId6"/>
    <sheet name="MBA@Denver" sheetId="15" r:id="rId7"/>
    <sheet name="DCB BA" sheetId="30" r:id="rId8"/>
    <sheet name="Executive PhD" sheetId="18" r:id="rId9"/>
    <sheet name="GSSW 4C &amp; West" sheetId="24" r:id="rId10"/>
    <sheet name="MSW@Denver" sheetId="25" r:id="rId11"/>
    <sheet name="Korbel" sheetId="26" r:id="rId12"/>
    <sheet name="Online MCE" sheetId="27" r:id="rId13"/>
    <sheet name="DataScience@Denver" sheetId="29" r:id="rId14"/>
    <sheet name="Law" sheetId="22" r:id="rId15"/>
    <sheet name="Grad Tax" sheetId="28" r:id="rId16"/>
    <sheet name="University College" sheetId="20" r:id="rId17"/>
    <sheet name="Data" sheetId="2" r:id="rId18"/>
    <sheet name="Law Data" sheetId="21" r:id="rId19"/>
  </sheets>
  <definedNames>
    <definedName name="Credits" localSheetId="14">#REF!</definedName>
    <definedName name="Credits" localSheetId="18">'Law Data'!$A$2:$A$18</definedName>
    <definedName name="Credits">Data!$A$5:$A$21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2" l="1"/>
  <c r="I15" i="22"/>
  <c r="M15" i="28"/>
  <c r="K15" i="28"/>
  <c r="I15" i="28"/>
  <c r="M15" i="26"/>
  <c r="K15" i="26"/>
  <c r="I15" i="26"/>
  <c r="M15" i="24"/>
  <c r="K15" i="24"/>
  <c r="I15" i="24"/>
  <c r="M15" i="18"/>
  <c r="K15" i="18"/>
  <c r="I15" i="18"/>
  <c r="M15" i="30"/>
  <c r="K15" i="30"/>
  <c r="I15" i="30"/>
  <c r="O15" i="13"/>
  <c r="M15" i="13"/>
  <c r="K15" i="13"/>
  <c r="I15" i="13"/>
  <c r="O15" i="14"/>
  <c r="M15" i="14"/>
  <c r="K15" i="14"/>
  <c r="I15" i="14"/>
  <c r="M17" i="12"/>
  <c r="K17" i="12"/>
  <c r="I17" i="12"/>
  <c r="M15" i="23"/>
  <c r="K15" i="23"/>
  <c r="I15" i="23"/>
  <c r="M15" i="1"/>
  <c r="K15" i="1"/>
  <c r="I15" i="1"/>
  <c r="M13" i="30" l="1"/>
  <c r="K13" i="30"/>
  <c r="I13" i="30"/>
  <c r="M12" i="30"/>
  <c r="K12" i="30"/>
  <c r="I12" i="30"/>
  <c r="M10" i="30"/>
  <c r="K10" i="30"/>
  <c r="I10" i="30"/>
  <c r="G24" i="30"/>
  <c r="M23" i="30"/>
  <c r="K23" i="30"/>
  <c r="I23" i="30"/>
  <c r="G22" i="30"/>
  <c r="M22" i="30" s="1"/>
  <c r="G21" i="30"/>
  <c r="M21" i="30" s="1"/>
  <c r="M20" i="30"/>
  <c r="K20" i="30"/>
  <c r="I20" i="30"/>
  <c r="M19" i="30"/>
  <c r="K19" i="30"/>
  <c r="I19" i="30"/>
  <c r="M14" i="30"/>
  <c r="I14" i="30"/>
  <c r="M16" i="30" l="1"/>
  <c r="G14" i="30"/>
  <c r="G15" i="30"/>
  <c r="K16" i="30"/>
  <c r="I16" i="30"/>
  <c r="G13" i="30"/>
  <c r="G12" i="30"/>
  <c r="M25" i="30"/>
  <c r="G25" i="30"/>
  <c r="I21" i="30"/>
  <c r="I22" i="30"/>
  <c r="K21" i="30"/>
  <c r="K22" i="30"/>
  <c r="G10" i="30"/>
  <c r="M27" i="30" l="1"/>
  <c r="G16" i="30"/>
  <c r="G27" i="30" s="1"/>
  <c r="I25" i="30"/>
  <c r="I27" i="30" s="1"/>
  <c r="K25" i="30"/>
  <c r="K27" i="30" s="1"/>
  <c r="O11" i="29" l="1"/>
  <c r="M11" i="29"/>
  <c r="K11" i="29"/>
  <c r="I11" i="29"/>
  <c r="O10" i="29"/>
  <c r="O12" i="29" s="1"/>
  <c r="M10" i="29"/>
  <c r="M12" i="29" s="1"/>
  <c r="K10" i="29"/>
  <c r="K12" i="29" s="1"/>
  <c r="I10" i="29"/>
  <c r="I12" i="29" s="1"/>
  <c r="G20" i="29"/>
  <c r="O19" i="29"/>
  <c r="M19" i="29"/>
  <c r="K19" i="29"/>
  <c r="I19" i="29"/>
  <c r="I18" i="29"/>
  <c r="G18" i="29"/>
  <c r="M18" i="29" s="1"/>
  <c r="K17" i="29"/>
  <c r="I17" i="29"/>
  <c r="G17" i="29"/>
  <c r="O17" i="29" s="1"/>
  <c r="O16" i="29"/>
  <c r="M16" i="29"/>
  <c r="K16" i="29"/>
  <c r="I16" i="29"/>
  <c r="O15" i="29"/>
  <c r="M15" i="29"/>
  <c r="K15" i="29"/>
  <c r="I15" i="29"/>
  <c r="I21" i="29" l="1"/>
  <c r="I23" i="29"/>
  <c r="G11" i="29"/>
  <c r="G10" i="29"/>
  <c r="G12" i="29" s="1"/>
  <c r="G23" i="29" s="1"/>
  <c r="O18" i="29"/>
  <c r="O21" i="29" s="1"/>
  <c r="O23" i="29" s="1"/>
  <c r="M17" i="29"/>
  <c r="M21" i="29" s="1"/>
  <c r="M23" i="29" s="1"/>
  <c r="K18" i="29"/>
  <c r="K21" i="29" s="1"/>
  <c r="K23" i="29" s="1"/>
  <c r="G21" i="29"/>
  <c r="O19" i="20" l="1"/>
  <c r="M19" i="20"/>
  <c r="K19" i="20"/>
  <c r="I19" i="20"/>
  <c r="O16" i="20"/>
  <c r="M16" i="20"/>
  <c r="K16" i="20"/>
  <c r="I16" i="20"/>
  <c r="O15" i="20"/>
  <c r="M15" i="20"/>
  <c r="K15" i="20"/>
  <c r="I15" i="20"/>
  <c r="M13" i="28"/>
  <c r="K13" i="28"/>
  <c r="I13" i="28"/>
  <c r="M12" i="28"/>
  <c r="K12" i="28"/>
  <c r="I12" i="28"/>
  <c r="M10" i="28"/>
  <c r="K10" i="28"/>
  <c r="K16" i="28" s="1"/>
  <c r="I10" i="28"/>
  <c r="G24" i="28"/>
  <c r="M23" i="28"/>
  <c r="K23" i="28"/>
  <c r="I23" i="28"/>
  <c r="G22" i="28"/>
  <c r="M22" i="28" s="1"/>
  <c r="G21" i="28"/>
  <c r="M21" i="28" s="1"/>
  <c r="M20" i="28"/>
  <c r="K20" i="28"/>
  <c r="I20" i="28"/>
  <c r="M19" i="28"/>
  <c r="K19" i="28"/>
  <c r="I19" i="28"/>
  <c r="I16" i="28"/>
  <c r="M14" i="28"/>
  <c r="I14" i="28"/>
  <c r="K24" i="22"/>
  <c r="K21" i="22"/>
  <c r="K20" i="22"/>
  <c r="I24" i="22"/>
  <c r="I21" i="22"/>
  <c r="I20" i="22"/>
  <c r="K13" i="22"/>
  <c r="K14" i="22"/>
  <c r="I14" i="22"/>
  <c r="I13" i="22"/>
  <c r="I16" i="22"/>
  <c r="K12" i="22"/>
  <c r="I12" i="22"/>
  <c r="K11" i="22"/>
  <c r="I11" i="22"/>
  <c r="K9" i="22"/>
  <c r="I9" i="22"/>
  <c r="O10" i="27"/>
  <c r="M10" i="27"/>
  <c r="K10" i="27"/>
  <c r="I10" i="27"/>
  <c r="I12" i="27" s="1"/>
  <c r="G20" i="27"/>
  <c r="O19" i="27"/>
  <c r="M19" i="27"/>
  <c r="K19" i="27"/>
  <c r="I19" i="27"/>
  <c r="G18" i="27"/>
  <c r="M18" i="27" s="1"/>
  <c r="G17" i="27"/>
  <c r="O17" i="27" s="1"/>
  <c r="O16" i="27"/>
  <c r="M16" i="27"/>
  <c r="K16" i="27"/>
  <c r="I16" i="27"/>
  <c r="O15" i="27"/>
  <c r="M15" i="27"/>
  <c r="K15" i="27"/>
  <c r="I15" i="27"/>
  <c r="O11" i="27"/>
  <c r="M11" i="27"/>
  <c r="K11" i="27"/>
  <c r="I11" i="27"/>
  <c r="K13" i="26"/>
  <c r="M13" i="26"/>
  <c r="I13" i="26"/>
  <c r="G24" i="26"/>
  <c r="M23" i="26"/>
  <c r="K23" i="26"/>
  <c r="I23" i="26"/>
  <c r="G22" i="26"/>
  <c r="M22" i="26" s="1"/>
  <c r="G21" i="26"/>
  <c r="M21" i="26" s="1"/>
  <c r="M20" i="26"/>
  <c r="K20" i="26"/>
  <c r="I20" i="26"/>
  <c r="M19" i="26"/>
  <c r="K19" i="26"/>
  <c r="I19" i="26"/>
  <c r="M14" i="26"/>
  <c r="I14" i="26"/>
  <c r="M12" i="26"/>
  <c r="K12" i="26"/>
  <c r="I12" i="26"/>
  <c r="M10" i="26"/>
  <c r="M16" i="26" s="1"/>
  <c r="K10" i="26"/>
  <c r="K16" i="26" s="1"/>
  <c r="I10" i="26"/>
  <c r="I19" i="25"/>
  <c r="O19" i="25"/>
  <c r="O18" i="25"/>
  <c r="O17" i="25"/>
  <c r="O16" i="25"/>
  <c r="M19" i="25"/>
  <c r="M18" i="25"/>
  <c r="M17" i="25"/>
  <c r="M16" i="25"/>
  <c r="K19" i="25"/>
  <c r="K18" i="25"/>
  <c r="K17" i="25"/>
  <c r="K16" i="25"/>
  <c r="I16" i="25"/>
  <c r="O15" i="25"/>
  <c r="M15" i="25"/>
  <c r="K15" i="25"/>
  <c r="I15" i="25"/>
  <c r="M16" i="28" l="1"/>
  <c r="G14" i="28"/>
  <c r="G15" i="28"/>
  <c r="M25" i="28"/>
  <c r="M27" i="28" s="1"/>
  <c r="G13" i="28"/>
  <c r="G12" i="28"/>
  <c r="I21" i="28"/>
  <c r="I22" i="28"/>
  <c r="G25" i="28"/>
  <c r="K21" i="28"/>
  <c r="K22" i="28"/>
  <c r="G10" i="28"/>
  <c r="G12" i="22"/>
  <c r="K12" i="27"/>
  <c r="I17" i="27"/>
  <c r="M12" i="27"/>
  <c r="G11" i="27"/>
  <c r="G10" i="27"/>
  <c r="K17" i="27"/>
  <c r="I18" i="27"/>
  <c r="O18" i="27"/>
  <c r="O21" i="27" s="1"/>
  <c r="O12" i="27"/>
  <c r="M17" i="27"/>
  <c r="M21" i="27" s="1"/>
  <c r="M23" i="27" s="1"/>
  <c r="K18" i="27"/>
  <c r="G21" i="27"/>
  <c r="G15" i="26"/>
  <c r="G14" i="26"/>
  <c r="G12" i="26"/>
  <c r="G13" i="26"/>
  <c r="I16" i="26"/>
  <c r="M25" i="26"/>
  <c r="M27" i="26" s="1"/>
  <c r="G25" i="26"/>
  <c r="I21" i="26"/>
  <c r="I22" i="26"/>
  <c r="K21" i="26"/>
  <c r="K22" i="26"/>
  <c r="G10" i="26"/>
  <c r="M23" i="18"/>
  <c r="M20" i="18"/>
  <c r="M19" i="18"/>
  <c r="K23" i="18"/>
  <c r="K20" i="18"/>
  <c r="K19" i="18"/>
  <c r="O21" i="15"/>
  <c r="O18" i="15"/>
  <c r="O17" i="15"/>
  <c r="M21" i="15"/>
  <c r="M18" i="15"/>
  <c r="M17" i="15"/>
  <c r="K21" i="15"/>
  <c r="K18" i="15"/>
  <c r="K17" i="15"/>
  <c r="I21" i="15"/>
  <c r="I18" i="15"/>
  <c r="I17" i="15"/>
  <c r="O23" i="13"/>
  <c r="O22" i="13"/>
  <c r="O21" i="13"/>
  <c r="O20" i="13"/>
  <c r="O19" i="13"/>
  <c r="M23" i="13"/>
  <c r="M22" i="13"/>
  <c r="M21" i="13"/>
  <c r="M20" i="13"/>
  <c r="K23" i="13"/>
  <c r="K22" i="13"/>
  <c r="K21" i="13"/>
  <c r="K20" i="13"/>
  <c r="K19" i="13"/>
  <c r="M19" i="13"/>
  <c r="I23" i="13"/>
  <c r="I22" i="13"/>
  <c r="I21" i="13"/>
  <c r="I20" i="13"/>
  <c r="I19" i="13"/>
  <c r="O23" i="14"/>
  <c r="O20" i="14"/>
  <c r="M23" i="14"/>
  <c r="M20" i="14"/>
  <c r="K23" i="14"/>
  <c r="K20" i="14"/>
  <c r="O19" i="14"/>
  <c r="M19" i="14"/>
  <c r="K19" i="14"/>
  <c r="M25" i="12"/>
  <c r="M22" i="12"/>
  <c r="M21" i="12"/>
  <c r="K25" i="12"/>
  <c r="K22" i="12"/>
  <c r="K21" i="12"/>
  <c r="K11" i="25"/>
  <c r="O11" i="25"/>
  <c r="M11" i="25"/>
  <c r="I11" i="25"/>
  <c r="O10" i="25"/>
  <c r="M10" i="25"/>
  <c r="K10" i="25"/>
  <c r="I10" i="25"/>
  <c r="I12" i="25" s="1"/>
  <c r="G20" i="25"/>
  <c r="G18" i="25"/>
  <c r="I18" i="25" s="1"/>
  <c r="G17" i="25"/>
  <c r="I17" i="25" s="1"/>
  <c r="M13" i="24"/>
  <c r="K13" i="24"/>
  <c r="I13" i="24"/>
  <c r="M12" i="24"/>
  <c r="K12" i="24"/>
  <c r="I12" i="24"/>
  <c r="M10" i="24"/>
  <c r="K10" i="24"/>
  <c r="I10" i="24"/>
  <c r="G24" i="24"/>
  <c r="M23" i="24"/>
  <c r="K23" i="24"/>
  <c r="I23" i="24"/>
  <c r="G22" i="24"/>
  <c r="M22" i="24" s="1"/>
  <c r="G21" i="24"/>
  <c r="M21" i="24" s="1"/>
  <c r="M20" i="24"/>
  <c r="K20" i="24"/>
  <c r="I20" i="24"/>
  <c r="M19" i="24"/>
  <c r="K19" i="24"/>
  <c r="I19" i="24"/>
  <c r="M14" i="24"/>
  <c r="I14" i="24"/>
  <c r="M13" i="23"/>
  <c r="K13" i="23"/>
  <c r="I13" i="23"/>
  <c r="G24" i="23"/>
  <c r="M23" i="23"/>
  <c r="K23" i="23"/>
  <c r="I23" i="23"/>
  <c r="G22" i="23"/>
  <c r="M22" i="23" s="1"/>
  <c r="G21" i="23"/>
  <c r="M21" i="23" s="1"/>
  <c r="M20" i="23"/>
  <c r="K20" i="23"/>
  <c r="I20" i="23"/>
  <c r="M19" i="23"/>
  <c r="K19" i="23"/>
  <c r="I19" i="23"/>
  <c r="M14" i="23"/>
  <c r="I14" i="23"/>
  <c r="M12" i="23"/>
  <c r="K12" i="23"/>
  <c r="I12" i="23"/>
  <c r="M10" i="23"/>
  <c r="K10" i="23"/>
  <c r="I10" i="23"/>
  <c r="M23" i="1"/>
  <c r="K23" i="1"/>
  <c r="I23" i="1"/>
  <c r="M20" i="1"/>
  <c r="K20" i="1"/>
  <c r="I20" i="1"/>
  <c r="M19" i="1"/>
  <c r="K19" i="1"/>
  <c r="I19" i="1"/>
  <c r="M14" i="1"/>
  <c r="I14" i="1"/>
  <c r="M13" i="1"/>
  <c r="K13" i="1"/>
  <c r="I13" i="1"/>
  <c r="M12" i="1"/>
  <c r="M10" i="1"/>
  <c r="K12" i="1"/>
  <c r="K10" i="1"/>
  <c r="I12" i="1"/>
  <c r="I10" i="1"/>
  <c r="G16" i="28" l="1"/>
  <c r="I25" i="28"/>
  <c r="I27" i="28" s="1"/>
  <c r="K25" i="28"/>
  <c r="K27" i="28" s="1"/>
  <c r="G27" i="28"/>
  <c r="I21" i="27"/>
  <c r="I23" i="27" s="1"/>
  <c r="G12" i="27"/>
  <c r="G23" i="27" s="1"/>
  <c r="K21" i="27"/>
  <c r="K23" i="27" s="1"/>
  <c r="O23" i="27"/>
  <c r="G16" i="26"/>
  <c r="G27" i="26" s="1"/>
  <c r="I25" i="26"/>
  <c r="I27" i="26" s="1"/>
  <c r="K25" i="26"/>
  <c r="K27" i="26" s="1"/>
  <c r="O12" i="25"/>
  <c r="M16" i="24"/>
  <c r="K16" i="24"/>
  <c r="M16" i="23"/>
  <c r="G14" i="23"/>
  <c r="M21" i="25"/>
  <c r="K12" i="25"/>
  <c r="G15" i="24"/>
  <c r="G10" i="25"/>
  <c r="G11" i="25"/>
  <c r="O21" i="25"/>
  <c r="O23" i="25" s="1"/>
  <c r="M12" i="25"/>
  <c r="K21" i="25"/>
  <c r="G21" i="25"/>
  <c r="G14" i="24"/>
  <c r="I16" i="24"/>
  <c r="M25" i="24"/>
  <c r="M27" i="24" s="1"/>
  <c r="G13" i="24"/>
  <c r="G12" i="24"/>
  <c r="G25" i="24"/>
  <c r="I21" i="24"/>
  <c r="K21" i="24"/>
  <c r="K22" i="24"/>
  <c r="I22" i="24"/>
  <c r="G10" i="24"/>
  <c r="K16" i="23"/>
  <c r="I16" i="23"/>
  <c r="G13" i="23"/>
  <c r="G12" i="23"/>
  <c r="G15" i="23"/>
  <c r="M25" i="23"/>
  <c r="G25" i="23"/>
  <c r="I22" i="23"/>
  <c r="K21" i="23"/>
  <c r="K22" i="23"/>
  <c r="I21" i="23"/>
  <c r="G10" i="23"/>
  <c r="G13" i="1"/>
  <c r="M27" i="23" l="1"/>
  <c r="K23" i="25"/>
  <c r="M23" i="25"/>
  <c r="G12" i="25"/>
  <c r="G23" i="25" s="1"/>
  <c r="I21" i="25"/>
  <c r="I23" i="25" s="1"/>
  <c r="I25" i="24"/>
  <c r="I27" i="24" s="1"/>
  <c r="G16" i="24"/>
  <c r="G27" i="24" s="1"/>
  <c r="K25" i="24"/>
  <c r="K27" i="24" s="1"/>
  <c r="G16" i="23"/>
  <c r="G27" i="23" s="1"/>
  <c r="I25" i="23"/>
  <c r="I27" i="23" s="1"/>
  <c r="K25" i="23"/>
  <c r="K27" i="23" s="1"/>
  <c r="G23" i="22"/>
  <c r="G22" i="22"/>
  <c r="I22" i="22" s="1"/>
  <c r="G16" i="22"/>
  <c r="G14" i="22"/>
  <c r="G13" i="22"/>
  <c r="K23" i="22" l="1"/>
  <c r="I23" i="22"/>
  <c r="I26" i="22" s="1"/>
  <c r="G26" i="22"/>
  <c r="K22" i="22"/>
  <c r="K26" i="22" s="1"/>
  <c r="K17" i="22"/>
  <c r="G9" i="22"/>
  <c r="G11" i="22"/>
  <c r="G15" i="22"/>
  <c r="I17" i="22"/>
  <c r="I28" i="22" l="1"/>
  <c r="K28" i="22"/>
  <c r="G17" i="22"/>
  <c r="G28" i="22" l="1"/>
  <c r="O11" i="20"/>
  <c r="M11" i="20"/>
  <c r="K11" i="20"/>
  <c r="I11" i="20"/>
  <c r="O10" i="20"/>
  <c r="O12" i="20" s="1"/>
  <c r="M10" i="20"/>
  <c r="M12" i="20" s="1"/>
  <c r="K10" i="20"/>
  <c r="I10" i="20"/>
  <c r="G20" i="20"/>
  <c r="G18" i="20"/>
  <c r="G17" i="20"/>
  <c r="M13" i="18"/>
  <c r="K13" i="18"/>
  <c r="I13" i="18"/>
  <c r="M12" i="18"/>
  <c r="K12" i="18"/>
  <c r="I12" i="18"/>
  <c r="G24" i="18"/>
  <c r="I23" i="18"/>
  <c r="G22" i="18"/>
  <c r="G21" i="18"/>
  <c r="I20" i="18"/>
  <c r="I19" i="18"/>
  <c r="M14" i="18"/>
  <c r="I14" i="18"/>
  <c r="O12" i="15"/>
  <c r="M12" i="15"/>
  <c r="K12" i="15"/>
  <c r="I12" i="15"/>
  <c r="G22" i="15"/>
  <c r="G20" i="15"/>
  <c r="G19" i="15"/>
  <c r="O13" i="15"/>
  <c r="M13" i="15"/>
  <c r="K13" i="15"/>
  <c r="I13" i="15"/>
  <c r="O18" i="20" l="1"/>
  <c r="M18" i="20"/>
  <c r="I18" i="20"/>
  <c r="K18" i="20"/>
  <c r="O17" i="20"/>
  <c r="I17" i="20"/>
  <c r="M17" i="20"/>
  <c r="K17" i="20"/>
  <c r="K21" i="18"/>
  <c r="M21" i="18"/>
  <c r="K22" i="18"/>
  <c r="M22" i="18"/>
  <c r="M25" i="18" s="1"/>
  <c r="I19" i="15"/>
  <c r="K19" i="15"/>
  <c r="O19" i="15"/>
  <c r="O23" i="15" s="1"/>
  <c r="M19" i="15"/>
  <c r="M23" i="15" s="1"/>
  <c r="I20" i="15"/>
  <c r="M20" i="15"/>
  <c r="K20" i="15"/>
  <c r="O20" i="15"/>
  <c r="K12" i="20"/>
  <c r="I12" i="20"/>
  <c r="G11" i="20"/>
  <c r="G10" i="20"/>
  <c r="O21" i="20"/>
  <c r="O23" i="20" s="1"/>
  <c r="G21" i="20"/>
  <c r="G14" i="18"/>
  <c r="M16" i="18"/>
  <c r="G13" i="18"/>
  <c r="K16" i="18"/>
  <c r="I16" i="18"/>
  <c r="G15" i="18"/>
  <c r="I21" i="18"/>
  <c r="G25" i="18"/>
  <c r="I22" i="18"/>
  <c r="G12" i="18"/>
  <c r="O14" i="15"/>
  <c r="M14" i="15"/>
  <c r="K14" i="15"/>
  <c r="G13" i="15"/>
  <c r="I14" i="15"/>
  <c r="G12" i="15"/>
  <c r="G23" i="15"/>
  <c r="I23" i="14"/>
  <c r="I20" i="14"/>
  <c r="I19" i="14"/>
  <c r="M14" i="14"/>
  <c r="I14" i="14"/>
  <c r="O13" i="14"/>
  <c r="M13" i="14"/>
  <c r="K13" i="14"/>
  <c r="I13" i="14"/>
  <c r="O12" i="14"/>
  <c r="M12" i="14"/>
  <c r="K12" i="14"/>
  <c r="I12" i="14"/>
  <c r="G24" i="14"/>
  <c r="G22" i="14"/>
  <c r="G21" i="14"/>
  <c r="M14" i="13"/>
  <c r="O13" i="13"/>
  <c r="M13" i="13"/>
  <c r="K13" i="13"/>
  <c r="I13" i="13"/>
  <c r="I14" i="13"/>
  <c r="O12" i="13"/>
  <c r="M12" i="13"/>
  <c r="K12" i="13"/>
  <c r="I12" i="13"/>
  <c r="I25" i="12"/>
  <c r="I22" i="12"/>
  <c r="I21" i="12"/>
  <c r="I12" i="12"/>
  <c r="M16" i="12"/>
  <c r="I16" i="12"/>
  <c r="K15" i="12"/>
  <c r="M15" i="12"/>
  <c r="I15" i="12"/>
  <c r="I14" i="12"/>
  <c r="M14" i="12"/>
  <c r="K14" i="12"/>
  <c r="M12" i="12"/>
  <c r="K12" i="12"/>
  <c r="M21" i="20" l="1"/>
  <c r="M23" i="20" s="1"/>
  <c r="I21" i="20"/>
  <c r="M25" i="15"/>
  <c r="O21" i="14"/>
  <c r="M21" i="14"/>
  <c r="K21" i="14"/>
  <c r="O22" i="14"/>
  <c r="K22" i="14"/>
  <c r="M22" i="14"/>
  <c r="M25" i="14" s="1"/>
  <c r="G14" i="13"/>
  <c r="G12" i="20"/>
  <c r="G23" i="20" s="1"/>
  <c r="I23" i="20"/>
  <c r="K21" i="20"/>
  <c r="K23" i="20" s="1"/>
  <c r="G15" i="13"/>
  <c r="I25" i="18"/>
  <c r="I27" i="18" s="1"/>
  <c r="M27" i="18"/>
  <c r="G16" i="18"/>
  <c r="G27" i="18" s="1"/>
  <c r="K25" i="18"/>
  <c r="K27" i="18" s="1"/>
  <c r="G25" i="14"/>
  <c r="I23" i="15"/>
  <c r="I25" i="15" s="1"/>
  <c r="O25" i="15"/>
  <c r="G14" i="15"/>
  <c r="G25" i="15" s="1"/>
  <c r="K23" i="15"/>
  <c r="K25" i="15" s="1"/>
  <c r="I21" i="14"/>
  <c r="I22" i="14"/>
  <c r="G14" i="14"/>
  <c r="G15" i="14"/>
  <c r="O16" i="14"/>
  <c r="K16" i="14"/>
  <c r="M16" i="14"/>
  <c r="G12" i="14"/>
  <c r="I16" i="14"/>
  <c r="G13" i="14"/>
  <c r="K16" i="13"/>
  <c r="O16" i="13"/>
  <c r="M16" i="13"/>
  <c r="I16" i="13"/>
  <c r="G15" i="12"/>
  <c r="G24" i="13"/>
  <c r="G22" i="13"/>
  <c r="G21" i="13"/>
  <c r="G24" i="12"/>
  <c r="M24" i="12" s="1"/>
  <c r="G23" i="12"/>
  <c r="O25" i="13" l="1"/>
  <c r="O27" i="13" s="1"/>
  <c r="M25" i="13"/>
  <c r="M27" i="13" s="1"/>
  <c r="K25" i="13"/>
  <c r="K27" i="13" s="1"/>
  <c r="I25" i="13"/>
  <c r="K23" i="12"/>
  <c r="M23" i="12"/>
  <c r="M27" i="12" s="1"/>
  <c r="K24" i="12"/>
  <c r="K25" i="14"/>
  <c r="K27" i="14" s="1"/>
  <c r="I25" i="14"/>
  <c r="I27" i="14" s="1"/>
  <c r="O25" i="14"/>
  <c r="O27" i="14" s="1"/>
  <c r="G16" i="14"/>
  <c r="G27" i="14" s="1"/>
  <c r="M27" i="14"/>
  <c r="G25" i="13"/>
  <c r="I24" i="12"/>
  <c r="I23" i="12"/>
  <c r="G12" i="13"/>
  <c r="G13" i="13"/>
  <c r="G16" i="12"/>
  <c r="I18" i="12"/>
  <c r="K18" i="12"/>
  <c r="M18" i="12"/>
  <c r="G14" i="12"/>
  <c r="G12" i="12"/>
  <c r="G17" i="12"/>
  <c r="G27" i="12"/>
  <c r="G16" i="13" l="1"/>
  <c r="G27" i="13" s="1"/>
  <c r="I27" i="12"/>
  <c r="I29" i="12" s="1"/>
  <c r="K27" i="12"/>
  <c r="K29" i="12" s="1"/>
  <c r="I27" i="13"/>
  <c r="M29" i="12"/>
  <c r="G18" i="12"/>
  <c r="G29" i="12" s="1"/>
  <c r="G22" i="1"/>
  <c r="G21" i="1"/>
  <c r="K22" i="1" l="1"/>
  <c r="M22" i="1"/>
  <c r="I22" i="1"/>
  <c r="K21" i="1"/>
  <c r="M21" i="1"/>
  <c r="I21" i="1"/>
  <c r="G15" i="1" l="1"/>
  <c r="G14" i="1"/>
  <c r="G24" i="1" l="1"/>
  <c r="M16" i="1" l="1"/>
  <c r="K16" i="1"/>
  <c r="I16" i="1"/>
  <c r="G12" i="1"/>
  <c r="G10" i="1"/>
  <c r="G25" i="1" l="1"/>
  <c r="G16" i="1"/>
  <c r="G27" i="1" l="1"/>
  <c r="M25" i="1"/>
  <c r="M27" i="1" s="1"/>
  <c r="K25" i="1"/>
  <c r="K27" i="1" s="1"/>
  <c r="I25" i="1"/>
  <c r="I27" i="1" s="1"/>
</calcChain>
</file>

<file path=xl/sharedStrings.xml><?xml version="1.0" encoding="utf-8"?>
<sst xmlns="http://schemas.openxmlformats.org/spreadsheetml/2006/main" count="828" uniqueCount="155">
  <si>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</si>
  <si>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</si>
  <si>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</si>
  <si>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</si>
  <si>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</si>
  <si>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</si>
  <si>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</si>
  <si>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</si>
  <si>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</si>
  <si>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</si>
  <si>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</si>
  <si>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</si>
  <si>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</si>
  <si>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</si>
  <si>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</si>
  <si>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</si>
  <si>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</si>
  <si>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Choose Your College or Program:</t>
  </si>
  <si>
    <t>Graduate Tax Program</t>
  </si>
  <si>
    <t>Student Fees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</si>
  <si>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</si>
  <si>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</si>
  <si>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</si>
  <si>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What is the starting term for your cohort?</t>
  </si>
  <si>
    <r>
      <rPr>
        <vertAlign val="superscript"/>
        <sz val="11"/>
        <color theme="1"/>
        <rFont val="Calibri"/>
        <family val="2"/>
        <scheme val="minor"/>
      </rPr>
      <t>1</t>
    </r>
    <r>
      <rPr>
        <sz val="11"/>
        <color theme="1"/>
        <rFont val="Calibri"/>
        <family val="2"/>
        <scheme val="minor"/>
      </rPr>
      <t>Tuition is charged at a flat rate for students enrolled in 12-18 credits per quarter. Students enrolled in less than 12 credits will be 
  charged $1,426 per credit. Students enrolled in more than 18 credits will be charged $17,112 + $1,426 per credit over 18.</t>
    </r>
  </si>
  <si>
    <r>
      <rPr>
        <vertAlign val="superscript"/>
        <sz val="11"/>
        <color theme="1"/>
        <rFont val="Calibri"/>
        <family val="2"/>
        <scheme val="minor"/>
      </rPr>
      <t>3</t>
    </r>
    <r>
      <rPr>
        <sz val="11"/>
        <color theme="1"/>
        <rFont val="Calibri"/>
        <family val="2"/>
        <scheme val="minor"/>
      </rPr>
      <t>This worksheet automatically deducts the 1.062% origination fee from the Direct Unsubsidized loan amount.</t>
    </r>
  </si>
  <si>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StudentLoans.gov. This loan 
  will not appear on your initial financial aid award letter and is not guaranteed financing, since you must be approved by the Department of 
  Education before you can borrow it. This worksheet automatically deducts the 4.248% origination fee from the total amount.</t>
    </r>
  </si>
  <si>
    <r>
      <t xml:space="preserve">2019-20 Estimated Billing Worksheet
</t>
    </r>
    <r>
      <rPr>
        <b/>
        <i/>
        <sz val="16"/>
        <color theme="1"/>
        <rFont val="Calibri"/>
        <family val="2"/>
        <scheme val="minor"/>
      </rPr>
      <t>Josef Korbel School of International Studies Programs</t>
    </r>
  </si>
  <si>
    <r>
      <t xml:space="preserve">2019-20 Estimated Billing Worksheet
</t>
    </r>
    <r>
      <rPr>
        <b/>
        <i/>
        <sz val="16"/>
        <color theme="1"/>
        <rFont val="Calibri"/>
        <family val="2"/>
        <scheme val="minor"/>
      </rPr>
      <t>Graduate Tax Program</t>
    </r>
  </si>
  <si>
    <r>
      <rPr>
        <vertAlign val="superscript"/>
        <sz val="11"/>
        <color theme="1"/>
        <rFont val="Calibri"/>
        <family val="2"/>
        <scheme val="minor"/>
      </rPr>
      <t>1</t>
    </r>
    <r>
      <rPr>
        <sz val="11"/>
        <color theme="1"/>
        <rFont val="Calibri"/>
        <family val="2"/>
        <scheme val="minor"/>
      </rPr>
      <t>Tuition for the 2019-20 academic year is $1,426 per credit.</t>
    </r>
  </si>
  <si>
    <r>
      <t xml:space="preserve">2019-20 Estimated Billing Worksheet
</t>
    </r>
    <r>
      <rPr>
        <b/>
        <i/>
        <sz val="16"/>
        <color theme="1"/>
        <rFont val="Calibri"/>
        <family val="2"/>
        <scheme val="minor"/>
      </rPr>
      <t>Graduate School of Social Work Four Corners and Western Colorado Programs</t>
    </r>
  </si>
  <si>
    <r>
      <rPr>
        <vertAlign val="superscript"/>
        <sz val="11"/>
        <color theme="1"/>
        <rFont val="Calibri"/>
        <family val="2"/>
        <scheme val="minor"/>
      </rPr>
      <t>1</t>
    </r>
    <r>
      <rPr>
        <sz val="11"/>
        <color theme="1"/>
        <rFont val="Calibri"/>
        <family val="2"/>
        <scheme val="minor"/>
      </rPr>
      <t>Tuition for the 2019-20 academic year is $784 per credit.</t>
    </r>
  </si>
  <si>
    <t>2019 Fall Quarter</t>
  </si>
  <si>
    <t>2020 Winter Quarter</t>
  </si>
  <si>
    <t>2020 Spring Quarter</t>
  </si>
  <si>
    <t>2020 Summer Quarter</t>
  </si>
  <si>
    <t>Flat-Rate</t>
  </si>
  <si>
    <t>No Flat-Rate</t>
  </si>
  <si>
    <t>GSSW 4C &amp; West</t>
  </si>
  <si>
    <t>UCOL</t>
  </si>
  <si>
    <t>Health Insurance</t>
  </si>
  <si>
    <t>MSW@Denver</t>
  </si>
  <si>
    <r>
      <t xml:space="preserve">2019-20 Estimated Billing Worksheet
</t>
    </r>
    <r>
      <rPr>
        <b/>
        <i/>
        <sz val="16"/>
        <color theme="1"/>
        <rFont val="Calibri"/>
        <family val="2"/>
        <scheme val="minor"/>
      </rPr>
      <t>Lamont School of Music Programs</t>
    </r>
  </si>
  <si>
    <t>Other Annual Assistance</t>
  </si>
  <si>
    <t>Payment(s) Made and/or Employer Reimbursements</t>
  </si>
  <si>
    <r>
      <t xml:space="preserve">2019-20 Estimated Billing Worksheet
</t>
    </r>
    <r>
      <rPr>
        <b/>
        <i/>
        <sz val="16"/>
        <color theme="1"/>
        <rFont val="Calibri"/>
        <family val="2"/>
        <scheme val="minor"/>
      </rPr>
      <t>MSW@Denver Online Program</t>
    </r>
  </si>
  <si>
    <r>
      <rPr>
        <b/>
        <sz val="11"/>
        <color rgb="FF000000"/>
        <rFont val="Calibri"/>
        <family val="2"/>
        <scheme val="minor"/>
      </rPr>
      <t>Colleges/programs that should use this worksheet include:</t>
    </r>
    <r>
      <rPr>
        <sz val="11"/>
        <color rgb="FF000000"/>
        <rFont val="Calibri"/>
        <family val="2"/>
        <scheme val="minor"/>
      </rPr>
      <t xml:space="preserve"> College of Arts, Humanities &amp; Social Sciences (except Music programs); Daniels College of Business (except for the PhD and MBA programs); Graduate School of Professional Psychology; On-Campus Graduate School of Social Work Denver Programs; Joint DU/Iliff School of Theology PhD Program; Josef Korbel School of International Studies; On-Campus Morgridge College of Education; Natural Sciences &amp; Mathematics; Ritchie School of Engineering &amp; Science (except for online programs)</t>
    </r>
  </si>
  <si>
    <t>MBAs</t>
  </si>
  <si>
    <t>2018 Fall Quarter</t>
  </si>
  <si>
    <t>Denver MBA</t>
  </si>
  <si>
    <r>
      <rPr>
        <vertAlign val="superscript"/>
        <sz val="11"/>
        <color theme="1"/>
        <rFont val="Calibri"/>
        <family val="2"/>
        <scheme val="minor"/>
      </rPr>
      <t>1</t>
    </r>
    <r>
      <rPr>
        <sz val="11"/>
        <color theme="1"/>
        <rFont val="Calibri"/>
        <family val="2"/>
        <scheme val="minor"/>
      </rPr>
      <t>Tuition for the cohort that started in the 2018 fall quarter is $1,130 per credit. Tuition for the cohort starting in the 2019 fall quarter is 
   $1,175 per credit.</t>
    </r>
  </si>
  <si>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</si>
  <si>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</si>
  <si>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</si>
  <si>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</si>
  <si>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</si>
  <si>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</si>
  <si>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</si>
  <si>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</si>
  <si>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</si>
  <si>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</si>
  <si>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</si>
  <si>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</si>
  <si>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</si>
  <si>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</si>
  <si>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</si>
  <si>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</si>
  <si>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</si>
  <si>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r>
      <t xml:space="preserve">2019-20 Estimated Billing Worksheet
</t>
    </r>
    <r>
      <rPr>
        <b/>
        <i/>
        <sz val="16"/>
        <color theme="1"/>
        <rFont val="Calibri"/>
        <family val="2"/>
        <scheme val="minor"/>
      </rPr>
      <t>Executive MBA Program</t>
    </r>
  </si>
  <si>
    <t>EMBA</t>
  </si>
  <si>
    <t>2019 Spring Quarter</t>
  </si>
  <si>
    <t>not enrolled</t>
  </si>
  <si>
    <t>Will you be enrolled in the following terms?</t>
  </si>
  <si>
    <t>How many credits will you take each quarter?</t>
  </si>
  <si>
    <t>Tech Fee</t>
  </si>
  <si>
    <r>
      <t>1</t>
    </r>
    <r>
      <rPr>
        <sz val="11"/>
        <color theme="1"/>
        <rFont val="Calibri"/>
        <family val="2"/>
        <scheme val="minor"/>
      </rPr>
      <t>Tuition for the cohort that started in the 2018 fall quarter or 2019 spring quarter is $1,299 per credit. Tuition for the cohort starting in the 2019 fall quarter
   or 2020 spring quarter is $1,350 per credit.</t>
    </r>
  </si>
  <si>
    <r>
      <t>1</t>
    </r>
    <r>
      <rPr>
        <sz val="11"/>
        <color theme="1"/>
        <rFont val="Calibri"/>
        <family val="2"/>
        <scheme val="minor"/>
      </rPr>
      <t>Tuition for the cohort that started in the 2018 fall quarter or 2019 spring quarter is is $15,591 per term. Tuition for the cohort starting in the 2019 fall
   quarter or 2020 spring quarter is $16,200 per term.</t>
    </r>
  </si>
  <si>
    <r>
      <t xml:space="preserve">2019-20 Estimated Billing Worksheet
</t>
    </r>
    <r>
      <rPr>
        <b/>
        <i/>
        <sz val="16"/>
        <color theme="1"/>
        <rFont val="Calibri"/>
        <family val="2"/>
        <scheme val="minor"/>
      </rPr>
      <t>MBA@Denver Online Program</t>
    </r>
  </si>
  <si>
    <r>
      <t xml:space="preserve">2019-20 Estimated Billing Worksheet
</t>
    </r>
    <r>
      <rPr>
        <b/>
        <i/>
        <sz val="16"/>
        <color theme="1"/>
        <rFont val="Calibri"/>
        <family val="2"/>
        <scheme val="minor"/>
      </rPr>
      <t>Professional MBA Program</t>
    </r>
  </si>
  <si>
    <t>2019 Winter Quarter</t>
  </si>
  <si>
    <t>2019 Summer Quarter</t>
  </si>
  <si>
    <t>PMBA &amp; MBA@Denver</t>
  </si>
  <si>
    <r>
      <t>1</t>
    </r>
    <r>
      <rPr>
        <sz val="11"/>
        <color theme="1"/>
        <rFont val="Calibri"/>
        <family val="2"/>
        <scheme val="minor"/>
      </rPr>
      <t>Tuition for the cohort that started in the 2018-2019 academic year is $1,299 per credit. Tuition for the cohort starting in the 2019-2020 academic year is
  $1,350 per credit.</t>
    </r>
  </si>
  <si>
    <r>
      <t xml:space="preserve">2019-20 Estimated Billing Worksheet
</t>
    </r>
    <r>
      <rPr>
        <b/>
        <i/>
        <sz val="16"/>
        <color theme="1"/>
        <rFont val="Calibri"/>
        <family val="2"/>
        <scheme val="minor"/>
      </rPr>
      <t>Denver MBA Full-Time Program</t>
    </r>
  </si>
  <si>
    <r>
      <t xml:space="preserve">2019-20 Estimated Billing Worksheet
</t>
    </r>
    <r>
      <rPr>
        <b/>
        <i/>
        <sz val="16"/>
        <color theme="1"/>
        <rFont val="Calibri"/>
        <family val="2"/>
        <scheme val="minor"/>
      </rPr>
      <t>Daniels Executive Ph.D Program</t>
    </r>
  </si>
  <si>
    <t>Executive PhD</t>
  </si>
  <si>
    <r>
      <rPr>
        <vertAlign val="superscript"/>
        <sz val="11"/>
        <color theme="1"/>
        <rFont val="Calibri"/>
        <family val="2"/>
        <scheme val="minor"/>
      </rPr>
      <t>1</t>
    </r>
    <r>
      <rPr>
        <sz val="11"/>
        <color theme="1"/>
        <rFont val="Calibri"/>
        <family val="2"/>
        <scheme val="minor"/>
      </rPr>
      <t>Tuition for the cohort that started in the 2018 fall quarter is $1,333 per credit. Tuition for the cohort starting in the 2019 fall quarter is 
   $1,389 per credit.</t>
    </r>
  </si>
  <si>
    <t>Student Fee</t>
  </si>
  <si>
    <t>2019 Fall Quarter or earlier</t>
  </si>
  <si>
    <r>
      <t xml:space="preserve">2019-20 Estimated Billing Worksheet
</t>
    </r>
    <r>
      <rPr>
        <b/>
        <i/>
        <sz val="16"/>
        <color theme="1"/>
        <rFont val="Calibri"/>
        <family val="2"/>
        <scheme val="minor"/>
      </rPr>
      <t>MLIS@Denver and SchoolCounseling@Denver Online Programs</t>
    </r>
  </si>
  <si>
    <t>Morgridge Online</t>
  </si>
  <si>
    <r>
      <t xml:space="preserve">2019-20 Estimated Billing Worksheet
</t>
    </r>
    <r>
      <rPr>
        <b/>
        <i/>
        <sz val="16"/>
        <color theme="1"/>
        <rFont val="Calibri"/>
        <family val="2"/>
        <scheme val="minor"/>
      </rPr>
      <t>University College Programs</t>
    </r>
  </si>
  <si>
    <r>
      <t>1</t>
    </r>
    <r>
      <rPr>
        <sz val="11"/>
        <color theme="1"/>
        <rFont val="Calibri"/>
        <family val="2"/>
        <scheme val="minor"/>
      </rPr>
      <t>Tuition for the 2019-2020 academic year is $713 per credit.</t>
    </r>
  </si>
  <si>
    <t>FALL 2019</t>
  </si>
  <si>
    <t>WINTER 2020</t>
  </si>
  <si>
    <t>SPRING 2020</t>
  </si>
  <si>
    <r>
      <t xml:space="preserve">2019-20 Estimated Billing Worksheet
</t>
    </r>
    <r>
      <rPr>
        <b/>
        <i/>
        <sz val="16"/>
        <color theme="1"/>
        <rFont val="Calibri"/>
        <family val="2"/>
        <scheme val="minor"/>
      </rPr>
      <t>Flat-Rate Graduate Programs</t>
    </r>
  </si>
  <si>
    <r>
      <t xml:space="preserve">2019-20 Estimated Billing Worksheets
</t>
    </r>
    <r>
      <rPr>
        <b/>
        <i/>
        <sz val="16"/>
        <color theme="1"/>
        <rFont val="Calibri"/>
        <family val="2"/>
        <scheme val="minor"/>
      </rPr>
      <t>Graduate &amp; Law Programs</t>
    </r>
  </si>
  <si>
    <t>College of Arts, Humanities &amp; Social Sciences:</t>
  </si>
  <si>
    <t>Lamont School of Music</t>
  </si>
  <si>
    <t>All other programs</t>
  </si>
  <si>
    <t>Daniels College of Business:</t>
  </si>
  <si>
    <t>Denver MBA Full-Time Program</t>
  </si>
  <si>
    <t>Professional MBA Program</t>
  </si>
  <si>
    <t>Exective MBA Program</t>
  </si>
  <si>
    <t>MBA@ Denver Online Program</t>
  </si>
  <si>
    <t>Executive PhD Program</t>
  </si>
  <si>
    <t>Graduate School of Professional Psychology:</t>
  </si>
  <si>
    <t>All programs</t>
  </si>
  <si>
    <t>Graduate School of Social Work:</t>
  </si>
  <si>
    <t>MSW@Denver Online Program</t>
  </si>
  <si>
    <t>Natural Sciences &amp; Mathematics:</t>
  </si>
  <si>
    <t>Ritchie School of Engineering &amp; Computer Science:</t>
  </si>
  <si>
    <t>Sturm College of Law:</t>
  </si>
  <si>
    <t>Four Corners and Western Colorado MSW Programs</t>
  </si>
  <si>
    <t>On-Campus MSW and PhD Programs</t>
  </si>
  <si>
    <t>JD and Master's Programs</t>
  </si>
  <si>
    <t>University College:</t>
  </si>
  <si>
    <t>Josef Korbel School of International Studies:</t>
  </si>
  <si>
    <t>Morgridge College of Education:</t>
  </si>
  <si>
    <t>On-Campus Programs</t>
  </si>
  <si>
    <t>MLIS@Denver and SchoolCounseling@Denver Online Programs</t>
  </si>
  <si>
    <t>How many credits do you plan to take each semester?</t>
  </si>
  <si>
    <t>RTD Fee</t>
  </si>
  <si>
    <t>Activity Fee</t>
  </si>
  <si>
    <r>
      <t>Are you a new JD student for 2019-20?</t>
    </r>
    <r>
      <rPr>
        <vertAlign val="superscript"/>
        <sz val="11"/>
        <color theme="1"/>
        <rFont val="Calibri"/>
        <family val="2"/>
        <scheme val="minor"/>
      </rPr>
      <t>3</t>
    </r>
  </si>
  <si>
    <t>DU Scholarship(s)</t>
  </si>
  <si>
    <r>
      <t>Direct Unsubsidized Loan</t>
    </r>
    <r>
      <rPr>
        <vertAlign val="superscript"/>
        <sz val="11"/>
        <color theme="1"/>
        <rFont val="Calibri"/>
        <family val="2"/>
        <scheme val="minor"/>
      </rPr>
      <t>4</t>
    </r>
  </si>
  <si>
    <r>
      <t>Direct Graduate PLUS Loan</t>
    </r>
    <r>
      <rPr>
        <vertAlign val="superscript"/>
        <sz val="11"/>
        <color theme="1"/>
        <rFont val="Calibri"/>
        <family val="2"/>
        <scheme val="minor"/>
      </rPr>
      <t>5</t>
    </r>
  </si>
  <si>
    <t>Payment(s) Made</t>
  </si>
  <si>
    <r>
      <rPr>
        <vertAlign val="superscript"/>
        <sz val="11"/>
        <color theme="1"/>
        <rFont val="Calibri"/>
        <family val="2"/>
        <scheme val="minor"/>
      </rPr>
      <t>1</t>
    </r>
    <r>
      <rPr>
        <sz val="11"/>
        <color theme="1"/>
        <rFont val="Calibri"/>
        <family val="2"/>
        <scheme val="minor"/>
      </rPr>
      <t>Tuition is $1,753 per credit. If you will be enrolled in less than 4 credits, please contact us, as you will not be eligible for federal loans.</t>
    </r>
  </si>
  <si>
    <r>
      <rPr>
        <vertAlign val="superscript"/>
        <sz val="11"/>
        <color theme="1"/>
        <rFont val="Calibri"/>
        <family val="2"/>
        <scheme val="minor"/>
      </rPr>
      <t>2</t>
    </r>
    <r>
      <rPr>
        <sz val="11"/>
        <color theme="1"/>
        <rFont val="Calibri"/>
        <family val="2"/>
        <scheme val="minor"/>
      </rPr>
      <t>Technology fees are $4 per credit.</t>
    </r>
  </si>
  <si>
    <r>
      <rPr>
        <vertAlign val="superscript"/>
        <sz val="11"/>
        <color theme="1"/>
        <rFont val="Calibri"/>
        <family val="2"/>
        <scheme val="minor"/>
      </rPr>
      <t>3</t>
    </r>
    <r>
      <rPr>
        <sz val="11"/>
        <color theme="1"/>
        <rFont val="Calibri"/>
        <family val="2"/>
        <scheme val="minor"/>
      </rPr>
      <t>First-year students are charged a one-time Loan Repayment Assistance Program fee (first semester only).</t>
    </r>
  </si>
  <si>
    <r>
      <rPr>
        <vertAlign val="superscript"/>
        <sz val="11"/>
        <color theme="1"/>
        <rFont val="Calibri"/>
        <family val="2"/>
        <scheme val="minor"/>
      </rPr>
      <t>4</t>
    </r>
    <r>
      <rPr>
        <sz val="11"/>
        <color theme="1"/>
        <rFont val="Calibri"/>
        <family val="2"/>
        <scheme val="minor"/>
      </rPr>
      <t>This worksheet automatically deducts the 1.062% origination fee from the Direct Unsubsidized loan amount.</t>
    </r>
  </si>
  <si>
    <r>
      <rPr>
        <vertAlign val="superscript"/>
        <sz val="11"/>
        <color theme="1"/>
        <rFont val="Calibri"/>
        <family val="2"/>
        <scheme val="minor"/>
      </rPr>
      <t>5</t>
    </r>
    <r>
      <rPr>
        <sz val="11"/>
        <color theme="1"/>
        <rFont val="Calibri"/>
        <family val="2"/>
        <scheme val="minor"/>
      </rPr>
      <t>This worksheet automatically deducts the 4.248% origination fee from the Direct Graduate PLUS loan amount.</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</si>
  <si>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2019-20 financial aid award letter.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invoice. </t>
    </r>
  </si>
  <si>
    <r>
      <t xml:space="preserve">2019-20 Estimated Billing Worksheet
</t>
    </r>
    <r>
      <rPr>
        <b/>
        <i/>
        <sz val="14"/>
        <color theme="1"/>
        <rFont val="Calibri"/>
        <family val="2"/>
        <scheme val="minor"/>
      </rPr>
      <t>JD and Master's Programs</t>
    </r>
  </si>
  <si>
    <t>FALL 2019:</t>
  </si>
  <si>
    <t>WINTER 2020:</t>
  </si>
  <si>
    <t>SPRING 2020:</t>
  </si>
  <si>
    <t>SUMMER 2020:</t>
  </si>
  <si>
    <t>SUMMER 2020</t>
  </si>
  <si>
    <t>21 credits</t>
  </si>
  <si>
    <t>22 credits</t>
  </si>
  <si>
    <r>
      <t>1</t>
    </r>
    <r>
      <rPr>
        <sz val="11"/>
        <color theme="1"/>
        <rFont val="Calibri"/>
        <family val="2"/>
        <scheme val="minor"/>
      </rPr>
      <t>Tuition for 2019-2020 academic year is $984 per credit.</t>
    </r>
  </si>
  <si>
    <r>
      <t>1</t>
    </r>
    <r>
      <rPr>
        <sz val="11"/>
        <color theme="1"/>
        <rFont val="Calibri"/>
        <family val="2"/>
        <scheme val="minor"/>
      </rPr>
      <t>Tuition for 2019-2020 academic year is $915 per credit.</t>
    </r>
  </si>
  <si>
    <r>
      <t xml:space="preserve">2019-20 Estimated Billing Worksheet
</t>
    </r>
    <r>
      <rPr>
        <b/>
        <i/>
        <sz val="16"/>
        <color theme="1"/>
        <rFont val="Calibri"/>
        <family val="2"/>
        <scheme val="minor"/>
      </rPr>
      <t>DataScience@Denver Online Program</t>
    </r>
  </si>
  <si>
    <t>DataScience@Denver and DCB BA</t>
  </si>
  <si>
    <r>
      <t>1</t>
    </r>
    <r>
      <rPr>
        <sz val="11"/>
        <color theme="1"/>
        <rFont val="Calibri"/>
        <family val="2"/>
        <scheme val="minor"/>
      </rPr>
      <t>Tuition for 2019-2020 academic year is $1,042 per credit.</t>
    </r>
  </si>
  <si>
    <t>DataScience@Denver Online Program</t>
  </si>
  <si>
    <r>
      <t xml:space="preserve">2019-20 Estimated Billing Worksheet
</t>
    </r>
    <r>
      <rPr>
        <b/>
        <i/>
        <sz val="16"/>
        <color theme="1"/>
        <rFont val="Calibri"/>
        <family val="2"/>
        <scheme val="minor"/>
      </rPr>
      <t>Daniels College of Business MS in Business Analytics Program</t>
    </r>
  </si>
  <si>
    <t>Master's in Business Analytics Program</t>
  </si>
  <si>
    <t>All Other Specialized Master's Programs</t>
  </si>
  <si>
    <t xml:space="preserve">Will you use DU's Health &amp; Counseling Services? </t>
  </si>
  <si>
    <t>Will you enroll in DU's Health Insurance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</si>
</sst>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i/>
      <sz val="14"/>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ashed">
        <color indexed="64"/>
      </left>
      <right style="dashed">
        <color indexed="64"/>
      </right>
      <top style="medium">
        <color indexed="64"/>
      </top>
      <bottom style="dashed">
        <color indexed="64"/>
      </bottom>
      <diagonal/>
    </border>
    <border>
      <left style="dashed">
        <color auto="1"/>
      </left>
      <right style="dotted">
        <color auto="1"/>
      </right>
      <top style="dashed">
        <color auto="1"/>
      </top>
      <bottom style="dashed">
        <color auto="1"/>
      </bottom>
      <diagonal/>
    </border>
    <border>
      <left/>
      <right style="dashed">
        <color indexed="64"/>
      </right>
      <top/>
      <bottom/>
      <diagonal/>
    </border>
    <border>
      <left/>
      <right style="dashed">
        <color indexed="64"/>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109">
    <xf numFmtId="0" fontId="0" fillId="0" borderId="0" xfId="0"/>
    <xf numFmtId="0" fontId="2" fillId="0" borderId="2" xfId="0" applyFont="1" applyBorder="1"/>
    <xf numFmtId="0" fontId="0" fillId="0" borderId="2" xfId="0" applyBorder="1"/>
    <xf numFmtId="0" fontId="0" fillId="0" borderId="0" xfId="0" applyAlignment="1">
      <alignment horizontal="left" indent="2"/>
    </xf>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5" fillId="0" borderId="0" xfId="0" applyFont="1" applyBorder="1" applyAlignment="1">
      <alignment horizontal="left" wrapText="1" indent="1"/>
    </xf>
    <xf numFmtId="0" fontId="7" fillId="0" borderId="0" xfId="0" applyFont="1" applyBorder="1" applyAlignment="1">
      <alignment horizontal="left"/>
    </xf>
    <xf numFmtId="0" fontId="0" fillId="0" borderId="3" xfId="0" applyBorder="1"/>
    <xf numFmtId="44" fontId="0" fillId="0" borderId="3" xfId="1" applyFont="1" applyBorder="1"/>
    <xf numFmtId="0" fontId="0" fillId="0" borderId="0" xfId="0"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8"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5" fillId="0" borderId="0" xfId="0" applyFont="1" applyFill="1" applyBorder="1" applyAlignment="1" applyProtection="1">
      <alignment horizontal="center" wrapText="1"/>
      <protection locked="0"/>
    </xf>
    <xf numFmtId="44" fontId="0" fillId="4" borderId="3" xfId="1" applyFont="1" applyFill="1" applyBorder="1" applyProtection="1">
      <protection locked="0"/>
    </xf>
    <xf numFmtId="44" fontId="0" fillId="2" borderId="11" xfId="1" applyFont="1" applyFill="1" applyBorder="1" applyProtection="1">
      <protection locked="0"/>
    </xf>
    <xf numFmtId="44" fontId="11" fillId="0" borderId="7" xfId="1" applyFont="1" applyBorder="1"/>
    <xf numFmtId="0" fontId="11" fillId="0" borderId="7" xfId="0" applyFont="1" applyBorder="1"/>
    <xf numFmtId="0" fontId="0" fillId="0" borderId="0" xfId="0" applyFill="1"/>
    <xf numFmtId="0" fontId="0" fillId="3" borderId="3" xfId="0" applyFill="1" applyBorder="1"/>
    <xf numFmtId="44" fontId="0" fillId="3" borderId="3" xfId="1" applyFont="1" applyFill="1" applyBorder="1"/>
    <xf numFmtId="0" fontId="5"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Alignment="1">
      <alignment horizontal="left" indent="2"/>
    </xf>
    <xf numFmtId="0" fontId="0" fillId="0" borderId="0" xfId="0" applyAlignment="1">
      <alignment horizontal="left"/>
    </xf>
    <xf numFmtId="44" fontId="2" fillId="0" borderId="12" xfId="1" applyFont="1" applyBorder="1" applyAlignment="1">
      <alignment horizontal="center"/>
    </xf>
    <xf numFmtId="0" fontId="5" fillId="2" borderId="4" xfId="0" applyFont="1" applyFill="1" applyBorder="1" applyAlignment="1" applyProtection="1">
      <alignment horizontal="center" wrapText="1"/>
      <protection locked="0"/>
    </xf>
    <xf numFmtId="0" fontId="0" fillId="0" borderId="0" xfId="0" applyFont="1"/>
    <xf numFmtId="0" fontId="0" fillId="0" borderId="0" xfId="0" applyBorder="1"/>
    <xf numFmtId="44" fontId="0" fillId="0" borderId="0" xfId="1" applyFont="1" applyBorder="1"/>
    <xf numFmtId="0" fontId="12" fillId="2" borderId="13" xfId="0" applyFont="1" applyFill="1" applyBorder="1" applyAlignment="1" applyProtection="1">
      <alignment horizontal="center" vertical="center"/>
      <protection locked="0"/>
    </xf>
    <xf numFmtId="0" fontId="0" fillId="0" borderId="0" xfId="0" applyFill="1" applyBorder="1" applyAlignment="1">
      <alignment horizontal="left"/>
    </xf>
    <xf numFmtId="0" fontId="0" fillId="0" borderId="0" xfId="0" applyFill="1" applyBorder="1"/>
    <xf numFmtId="44" fontId="0" fillId="0" borderId="0" xfId="1" applyFont="1" applyFill="1" applyBorder="1"/>
    <xf numFmtId="44" fontId="0" fillId="3" borderId="0" xfId="0" applyNumberFormat="1" applyFill="1"/>
    <xf numFmtId="44" fontId="0" fillId="0" borderId="3" xfId="0" applyNumberFormat="1" applyFill="1" applyBorder="1"/>
    <xf numFmtId="0" fontId="2" fillId="0" borderId="0" xfId="0" applyFont="1" applyAlignment="1">
      <alignment horizontal="right"/>
    </xf>
    <xf numFmtId="0" fontId="0" fillId="0" borderId="0" xfId="0" applyAlignment="1">
      <alignment horizontal="left" indent="2"/>
    </xf>
    <xf numFmtId="0" fontId="0" fillId="0" borderId="0" xfId="0" applyAlignment="1">
      <alignment horizontal="left"/>
    </xf>
    <xf numFmtId="0" fontId="0" fillId="0" borderId="3" xfId="0" applyBorder="1" applyAlignment="1">
      <alignment horizontal="left"/>
    </xf>
    <xf numFmtId="0" fontId="2" fillId="0" borderId="1" xfId="0" applyFont="1" applyBorder="1"/>
    <xf numFmtId="44" fontId="2" fillId="0" borderId="1" xfId="1" applyFont="1" applyBorder="1"/>
    <xf numFmtId="0" fontId="0" fillId="0" borderId="0" xfId="0" applyFill="1" applyAlignment="1">
      <alignment horizontal="left"/>
    </xf>
    <xf numFmtId="44" fontId="0" fillId="0" borderId="0" xfId="1" applyFont="1" applyFill="1"/>
    <xf numFmtId="0" fontId="0" fillId="0" borderId="0" xfId="0" applyAlignment="1"/>
    <xf numFmtId="0" fontId="0" fillId="0" borderId="0" xfId="0" applyAlignment="1">
      <alignment wrapText="1"/>
    </xf>
    <xf numFmtId="0" fontId="2" fillId="0" borderId="0" xfId="0" applyFont="1" applyAlignment="1">
      <alignment horizontal="left" indent="3"/>
    </xf>
    <xf numFmtId="0" fontId="15" fillId="0" borderId="0" xfId="0" applyFont="1" applyAlignment="1">
      <alignment horizontal="left" vertical="top" indent="3"/>
    </xf>
    <xf numFmtId="0" fontId="14" fillId="0" borderId="0" xfId="2" applyAlignment="1" applyProtection="1">
      <alignment horizontal="left" indent="5"/>
      <protection locked="0"/>
    </xf>
    <xf numFmtId="0" fontId="0" fillId="0" borderId="0" xfId="0" applyProtection="1">
      <protection locked="0"/>
    </xf>
    <xf numFmtId="0" fontId="0" fillId="0" borderId="0" xfId="0" applyProtection="1"/>
    <xf numFmtId="44" fontId="0" fillId="2" borderId="13" xfId="1"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0" borderId="0" xfId="0" applyAlignment="1">
      <alignment horizontal="left"/>
    </xf>
    <xf numFmtId="0" fontId="0" fillId="0" borderId="0" xfId="0" applyAlignment="1">
      <alignment horizontal="left"/>
    </xf>
    <xf numFmtId="0" fontId="5" fillId="2" borderId="4" xfId="0" applyFont="1" applyFill="1" applyBorder="1" applyAlignment="1" applyProtection="1">
      <alignment wrapText="1"/>
      <protection locked="0"/>
    </xf>
    <xf numFmtId="44" fontId="2" fillId="0" borderId="0" xfId="1" applyFont="1" applyAlignment="1">
      <alignment horizontal="center"/>
    </xf>
    <xf numFmtId="0" fontId="7" fillId="0" borderId="0" xfId="0" applyFont="1" applyBorder="1" applyAlignment="1">
      <alignment horizontal="left" indent="3"/>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13" fillId="0" borderId="0" xfId="0" applyFont="1" applyBorder="1" applyAlignment="1">
      <alignment horizontal="center" wrapText="1"/>
    </xf>
    <xf numFmtId="0" fontId="5" fillId="2" borderId="14" xfId="0" applyFont="1" applyFill="1" applyBorder="1" applyAlignment="1" applyProtection="1">
      <alignment wrapText="1"/>
      <protection locked="0"/>
    </xf>
    <xf numFmtId="0" fontId="14" fillId="0" borderId="0" xfId="2" applyAlignment="1">
      <alignment horizontal="left" indent="5"/>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2" fillId="0" borderId="0" xfId="0" applyFont="1" applyBorder="1" applyAlignment="1">
      <alignment horizontal="left" vertical="center" wrapText="1"/>
    </xf>
    <xf numFmtId="0" fontId="12" fillId="0" borderId="0" xfId="0" applyFont="1" applyBorder="1" applyAlignment="1">
      <alignment horizontal="left" vertical="center" wrapText="1" indent="1"/>
    </xf>
    <xf numFmtId="0" fontId="3" fillId="0" borderId="0" xfId="0" applyFont="1" applyAlignment="1">
      <alignment horizontal="right" vertical="top" wrapText="1"/>
    </xf>
    <xf numFmtId="0" fontId="3" fillId="0" borderId="0" xfId="0" applyFont="1" applyAlignment="1">
      <alignment horizontal="right" vertical="top"/>
    </xf>
    <xf numFmtId="0" fontId="0" fillId="3" borderId="0" xfId="0" applyFill="1" applyAlignment="1">
      <alignment horizontal="center"/>
    </xf>
    <xf numFmtId="0" fontId="0" fillId="0" borderId="0" xfId="0" applyAlignment="1">
      <alignment horizontal="left" wrapText="1"/>
    </xf>
    <xf numFmtId="0" fontId="0" fillId="0" borderId="0" xfId="0" applyAlignment="1">
      <alignment horizontal="left"/>
    </xf>
    <xf numFmtId="0" fontId="0" fillId="3" borderId="3" xfId="0" applyFill="1" applyBorder="1" applyAlignment="1">
      <alignment horizontal="left"/>
    </xf>
    <xf numFmtId="0" fontId="5" fillId="2" borderId="8" xfId="0" applyFont="1" applyFill="1" applyBorder="1" applyAlignment="1" applyProtection="1">
      <alignment horizontal="center" wrapText="1"/>
      <protection locked="0"/>
    </xf>
    <xf numFmtId="0" fontId="5" fillId="2" borderId="9" xfId="0" applyFont="1" applyFill="1" applyBorder="1" applyAlignment="1" applyProtection="1">
      <alignment horizontal="center" wrapText="1"/>
      <protection locked="0"/>
    </xf>
    <xf numFmtId="0" fontId="0" fillId="0" borderId="3" xfId="0" applyBorder="1" applyAlignment="1">
      <alignment horizontal="left"/>
    </xf>
    <xf numFmtId="0" fontId="6" fillId="0" borderId="0" xfId="0" applyFont="1" applyAlignment="1">
      <alignment horizontal="left" wrapText="1"/>
    </xf>
    <xf numFmtId="0" fontId="5" fillId="2" borderId="10" xfId="0" applyFont="1" applyFill="1" applyBorder="1" applyAlignment="1" applyProtection="1">
      <alignment horizontal="center" wrapText="1"/>
      <protection locked="0"/>
    </xf>
    <xf numFmtId="0" fontId="3" fillId="0" borderId="3" xfId="0" applyFont="1" applyBorder="1" applyAlignment="1">
      <alignment horizontal="right" vertical="top" wrapText="1"/>
    </xf>
    <xf numFmtId="0" fontId="3" fillId="0" borderId="3" xfId="0" applyFont="1" applyBorder="1" applyAlignment="1">
      <alignment horizontal="right" vertical="top"/>
    </xf>
    <xf numFmtId="0" fontId="14" fillId="0" borderId="3" xfId="2" applyFill="1" applyBorder="1" applyAlignment="1">
      <alignment horizontal="left"/>
    </xf>
    <xf numFmtId="0" fontId="0" fillId="2" borderId="5" xfId="0" applyFill="1" applyBorder="1" applyProtection="1">
      <protection locked="0"/>
    </xf>
    <xf numFmtId="0" fontId="14" fillId="3" borderId="0" xfId="2" applyFill="1" applyBorder="1" applyAlignment="1">
      <alignment horizontal="left"/>
    </xf>
    <xf numFmtId="0" fontId="14" fillId="3" borderId="15" xfId="2" applyFill="1" applyBorder="1" applyAlignment="1">
      <alignment horizontal="left"/>
    </xf>
    <xf numFmtId="0" fontId="14" fillId="0" borderId="3" xfId="2" applyFill="1" applyBorder="1" applyAlignment="1">
      <alignment horizontal="left"/>
    </xf>
    <xf numFmtId="0" fontId="14" fillId="0" borderId="16" xfId="2" applyFill="1" applyBorder="1" applyAlignment="1">
      <alignment horizontal="left"/>
    </xf>
    <xf numFmtId="0" fontId="14" fillId="0" borderId="0" xfId="2" applyAlignment="1">
      <alignment horizontal="left"/>
    </xf>
    <xf numFmtId="0" fontId="14" fillId="0" borderId="15" xfId="2" applyBorder="1" applyAlignment="1">
      <alignment horizontal="left"/>
    </xf>
    <xf numFmtId="0" fontId="14" fillId="3" borderId="0" xfId="2" applyFill="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7300" cy="489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showRowColHeaders="0" tabSelected="1" showRuler="0" zoomScaleNormal="100" workbookViewId="0"/>
  </sheetViews>
  <sheetFormatPr defaultRowHeight="15" x14ac:dyDescent="0.25"/>
  <cols>
    <col min="1" max="1" width="4.140625" customWidth="1"/>
    <col min="2" max="2" width="74.85546875" customWidth="1"/>
    <col min="3" max="3" width="12.85546875" style="6" customWidth="1"/>
    <col min="4" max="4" width="26.5703125" customWidth="1"/>
  </cols>
  <sheetData>
    <row r="1" spans="1:4" ht="17.25" customHeight="1" x14ac:dyDescent="0.25">
      <c r="A1" s="68"/>
    </row>
    <row r="2" spans="1:4" ht="47.25" customHeight="1" x14ac:dyDescent="0.35">
      <c r="B2" s="83" t="s">
        <v>97</v>
      </c>
      <c r="C2" s="84"/>
      <c r="D2" s="84"/>
    </row>
    <row r="3" spans="1:4" ht="8.25" customHeight="1" x14ac:dyDescent="0.25">
      <c r="B3" s="24"/>
      <c r="C3" s="26"/>
      <c r="D3" s="26"/>
    </row>
    <row r="4" spans="1:4" ht="66.75" customHeight="1" x14ac:dyDescent="0.25">
      <c r="B4" s="85" t="s">
        <v>135</v>
      </c>
      <c r="C4" s="85"/>
      <c r="D4" s="85"/>
    </row>
    <row r="5" spans="1:4" ht="21.75" customHeight="1" x14ac:dyDescent="0.25">
      <c r="C5"/>
    </row>
    <row r="6" spans="1:4" ht="27" customHeight="1" x14ac:dyDescent="0.25">
      <c r="B6" s="66" t="s">
        <v>17</v>
      </c>
      <c r="C6"/>
    </row>
    <row r="7" spans="1:4" x14ac:dyDescent="0.25">
      <c r="B7" s="65" t="s">
        <v>98</v>
      </c>
    </row>
    <row r="8" spans="1:4" x14ac:dyDescent="0.25">
      <c r="B8" s="67" t="s">
        <v>99</v>
      </c>
      <c r="C8" s="63"/>
      <c r="D8" s="63"/>
    </row>
    <row r="9" spans="1:4" x14ac:dyDescent="0.25">
      <c r="B9" s="67" t="s">
        <v>100</v>
      </c>
    </row>
    <row r="10" spans="1:4" x14ac:dyDescent="0.25">
      <c r="B10" s="65" t="s">
        <v>101</v>
      </c>
    </row>
    <row r="11" spans="1:4" x14ac:dyDescent="0.25">
      <c r="B11" s="81" t="s">
        <v>151</v>
      </c>
    </row>
    <row r="12" spans="1:4" x14ac:dyDescent="0.25">
      <c r="B12" s="67" t="s">
        <v>152</v>
      </c>
    </row>
    <row r="13" spans="1:4" x14ac:dyDescent="0.25">
      <c r="B13" s="67" t="s">
        <v>102</v>
      </c>
    </row>
    <row r="14" spans="1:4" x14ac:dyDescent="0.25">
      <c r="B14" s="67" t="s">
        <v>103</v>
      </c>
    </row>
    <row r="15" spans="1:4" x14ac:dyDescent="0.25">
      <c r="B15" s="67" t="s">
        <v>104</v>
      </c>
    </row>
    <row r="16" spans="1:4" x14ac:dyDescent="0.25">
      <c r="B16" s="67" t="s">
        <v>105</v>
      </c>
    </row>
    <row r="17" spans="2:4" x14ac:dyDescent="0.25">
      <c r="B17" s="67" t="s">
        <v>106</v>
      </c>
    </row>
    <row r="18" spans="2:4" x14ac:dyDescent="0.25">
      <c r="B18" s="65" t="s">
        <v>107</v>
      </c>
    </row>
    <row r="19" spans="2:4" x14ac:dyDescent="0.25">
      <c r="B19" s="67" t="s">
        <v>108</v>
      </c>
    </row>
    <row r="20" spans="2:4" x14ac:dyDescent="0.25">
      <c r="B20" s="65" t="s">
        <v>109</v>
      </c>
    </row>
    <row r="21" spans="2:4" x14ac:dyDescent="0.25">
      <c r="B21" s="67" t="s">
        <v>115</v>
      </c>
    </row>
    <row r="22" spans="2:4" x14ac:dyDescent="0.25">
      <c r="B22" s="67" t="s">
        <v>114</v>
      </c>
    </row>
    <row r="23" spans="2:4" x14ac:dyDescent="0.25">
      <c r="B23" s="67" t="s">
        <v>110</v>
      </c>
    </row>
    <row r="24" spans="2:4" x14ac:dyDescent="0.25">
      <c r="B24" s="65" t="s">
        <v>118</v>
      </c>
    </row>
    <row r="25" spans="2:4" x14ac:dyDescent="0.25">
      <c r="B25" s="67" t="s">
        <v>108</v>
      </c>
    </row>
    <row r="26" spans="2:4" x14ac:dyDescent="0.25">
      <c r="B26" s="65" t="s">
        <v>119</v>
      </c>
    </row>
    <row r="27" spans="2:4" x14ac:dyDescent="0.25">
      <c r="B27" s="67" t="s">
        <v>120</v>
      </c>
    </row>
    <row r="28" spans="2:4" x14ac:dyDescent="0.25">
      <c r="B28" s="67" t="s">
        <v>121</v>
      </c>
    </row>
    <row r="29" spans="2:4" x14ac:dyDescent="0.25">
      <c r="B29" s="65" t="s">
        <v>111</v>
      </c>
    </row>
    <row r="30" spans="2:4" ht="15" customHeight="1" x14ac:dyDescent="0.25">
      <c r="B30" s="67" t="s">
        <v>108</v>
      </c>
      <c r="C30" s="64"/>
      <c r="D30" s="64"/>
    </row>
    <row r="31" spans="2:4" x14ac:dyDescent="0.25">
      <c r="B31" s="65" t="s">
        <v>112</v>
      </c>
    </row>
    <row r="32" spans="2:4" x14ac:dyDescent="0.25">
      <c r="B32" s="81" t="s">
        <v>149</v>
      </c>
    </row>
    <row r="33" spans="2:4" x14ac:dyDescent="0.25">
      <c r="B33" s="67" t="s">
        <v>100</v>
      </c>
    </row>
    <row r="34" spans="2:4" x14ac:dyDescent="0.25">
      <c r="B34" s="65" t="s">
        <v>113</v>
      </c>
    </row>
    <row r="35" spans="2:4" x14ac:dyDescent="0.25">
      <c r="B35" s="67" t="s">
        <v>116</v>
      </c>
    </row>
    <row r="36" spans="2:4" x14ac:dyDescent="0.25">
      <c r="B36" s="67" t="s">
        <v>18</v>
      </c>
    </row>
    <row r="37" spans="2:4" x14ac:dyDescent="0.25">
      <c r="B37" s="65" t="s">
        <v>117</v>
      </c>
    </row>
    <row r="38" spans="2:4" x14ac:dyDescent="0.25">
      <c r="B38" s="67" t="s">
        <v>108</v>
      </c>
    </row>
    <row r="39" spans="2:4" x14ac:dyDescent="0.25">
      <c r="B39" s="69"/>
    </row>
    <row r="42" spans="2:4" x14ac:dyDescent="0.25">
      <c r="B42" s="82" t="s">
        <v>14</v>
      </c>
      <c r="C42" s="82"/>
      <c r="D42" s="82"/>
    </row>
  </sheetData>
  <sheetProtection sheet="1" selectLockedCells="1"/>
  <mergeCells count="3">
    <mergeCell ref="B42:D42"/>
    <mergeCell ref="B2:D2"/>
    <mergeCell ref="B4:D4"/>
  </mergeCells>
  <hyperlinks>
    <hyperlink ref="B8" location="Music!A1" display="Lamont School of Music"/>
    <hyperlink ref="B9" location="'Flat-Rate Programs'!A1" display="All other programs"/>
    <hyperlink ref="B12" location="'Flat-Rate Programs'!A1" display="Specialized Master's Programs"/>
    <hyperlink ref="B13" location="'Denver MBA'!A1" display="Denver MBA Full-Time Program"/>
    <hyperlink ref="B14" location="PMBA!A1" display="Professional MBA Program"/>
    <hyperlink ref="B15" location="EMBA!A1" display="Exective MBA Program"/>
    <hyperlink ref="B16" location="'MBA@Denver'!A1" display="MBA@ Denver Online Program"/>
    <hyperlink ref="B17" location="'Executive PhD'!A1" display="Executive PhD Program"/>
    <hyperlink ref="B19" location="'Flat-Rate Programs'!A1" display="All programs"/>
    <hyperlink ref="B21" location="'Flat-Rate Programs'!A1" display="On-Campus MSW and PhD Programs"/>
    <hyperlink ref="B22" location="'GSSW 4C &amp; West'!A1" display="Four Corners and Western Colorado MSW Programs"/>
    <hyperlink ref="B23" location="'MSW@Denver'!A1" display="MSW@Denver Online Program"/>
    <hyperlink ref="B30" location="'Flat-Rate Programs'!A1" display="All programs"/>
    <hyperlink ref="B33" location="'Flat-Rate Programs'!A1" display="All programs"/>
    <hyperlink ref="B25" location="Korbel!A1" display="All programs"/>
    <hyperlink ref="B27" location="'Flat-Rate Programs'!A1" display="On-Campus Programs"/>
    <hyperlink ref="B28" location="'Online MCE'!A1" display="MLIS@Denver and SchoolCounseling@Denver Online Programs"/>
    <hyperlink ref="B35" location="Law!A1" display="JD and Master's Programs"/>
    <hyperlink ref="B36" location="'Grad Tax'!A1" display="Graduate Tax Program"/>
    <hyperlink ref="B38" location="'University College'!A1" display="All programs"/>
    <hyperlink ref="B32" location="'DataScience@Denver'!A1" display="DataScience@Denver Online Program"/>
    <hyperlink ref="B11" location="'DCB BA'!A1" display="Master's in Business Analytics Program"/>
  </hyperlinks>
  <pageMargins left="0.5" right="0.5" top="0.5" bottom="0.5" header="0.3" footer="0.3"/>
  <pageSetup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showRowColHeaders="0" showRuler="0" zoomScaleNormal="100" workbookViewId="0">
      <selection activeCell="I6" sqref="I6"/>
    </sheetView>
  </sheetViews>
  <sheetFormatPr defaultRowHeight="15" x14ac:dyDescent="0.25"/>
  <cols>
    <col min="1" max="1" width="4.140625" customWidth="1"/>
    <col min="4" max="4" width="25.85546875" customWidth="1"/>
    <col min="5" max="5" width="11.5703125" bestFit="1" customWidth="1"/>
    <col min="7" max="7" width="13.140625" style="6" customWidth="1"/>
    <col min="8" max="8" width="4.7109375" customWidth="1"/>
    <col min="9" max="9" width="13.5703125" style="6" customWidth="1"/>
    <col min="10" max="10" width="4.7109375" customWidth="1"/>
    <col min="11" max="11" width="13.5703125" style="6" customWidth="1"/>
    <col min="12" max="12" width="4.7109375" style="6" customWidth="1"/>
    <col min="13" max="13" width="13.5703125" style="6" customWidth="1"/>
    <col min="14" max="14" width="3.5703125" customWidth="1"/>
  </cols>
  <sheetData>
    <row r="1" spans="2:14" ht="17.25" customHeight="1" x14ac:dyDescent="0.25"/>
    <row r="2" spans="2:14" ht="47.25" customHeight="1" x14ac:dyDescent="0.25">
      <c r="D2" s="98" t="s">
        <v>30</v>
      </c>
      <c r="E2" s="98"/>
      <c r="F2" s="98"/>
      <c r="G2" s="98"/>
      <c r="H2" s="98"/>
      <c r="I2" s="98"/>
      <c r="J2" s="98"/>
      <c r="K2" s="98"/>
      <c r="L2" s="98"/>
      <c r="M2" s="98"/>
      <c r="N2" s="98"/>
    </row>
    <row r="3" spans="2:14" ht="8.25" customHeight="1" x14ac:dyDescent="0.25">
      <c r="B3" s="24"/>
      <c r="C3" s="24"/>
      <c r="D3" s="24"/>
      <c r="E3" s="24"/>
      <c r="F3" s="24"/>
      <c r="G3" s="25"/>
      <c r="H3" s="26"/>
      <c r="I3" s="26"/>
      <c r="J3" s="26"/>
      <c r="K3" s="26"/>
      <c r="L3" s="26"/>
      <c r="M3" s="26"/>
      <c r="N3" s="26"/>
    </row>
    <row r="4" spans="2:14" ht="8.25" customHeight="1" x14ac:dyDescent="0.25">
      <c r="B4" s="86"/>
      <c r="C4" s="86"/>
      <c r="D4" s="86"/>
      <c r="E4" s="86"/>
      <c r="F4" s="86"/>
      <c r="G4" s="86"/>
      <c r="H4" s="86"/>
      <c r="I4" s="86"/>
      <c r="J4" s="86"/>
      <c r="K4" s="86"/>
      <c r="L4" s="86"/>
      <c r="M4" s="86"/>
      <c r="N4" s="86"/>
    </row>
    <row r="5" spans="2:14" ht="19.5" customHeight="1" x14ac:dyDescent="0.25">
      <c r="I5" s="75" t="s">
        <v>137</v>
      </c>
      <c r="K5" s="75" t="s">
        <v>138</v>
      </c>
      <c r="M5" s="75" t="s">
        <v>139</v>
      </c>
    </row>
    <row r="6" spans="2:14" ht="18" customHeight="1" x14ac:dyDescent="0.3">
      <c r="C6" s="8" t="s">
        <v>15</v>
      </c>
      <c r="D6" s="35"/>
      <c r="E6" s="35"/>
      <c r="F6" s="35"/>
      <c r="G6" s="35"/>
      <c r="H6" s="35"/>
      <c r="I6" s="74"/>
      <c r="K6" s="74"/>
      <c r="L6" s="27"/>
      <c r="M6" s="74"/>
      <c r="N6" s="35"/>
    </row>
    <row r="7" spans="2:14" ht="6" customHeight="1" x14ac:dyDescent="0.25"/>
    <row r="8" spans="2:14" ht="15.75" thickBot="1" x14ac:dyDescent="0.3">
      <c r="B8" s="1" t="s">
        <v>7</v>
      </c>
      <c r="C8" s="2"/>
      <c r="D8" s="2"/>
      <c r="E8" s="2"/>
      <c r="F8" s="2"/>
      <c r="G8" s="5" t="s">
        <v>3</v>
      </c>
      <c r="H8" s="4"/>
      <c r="I8" s="5" t="s">
        <v>93</v>
      </c>
      <c r="J8" s="4"/>
      <c r="K8" s="5" t="s">
        <v>94</v>
      </c>
      <c r="L8" s="5"/>
      <c r="M8" s="5" t="s">
        <v>95</v>
      </c>
      <c r="N8" s="2"/>
    </row>
    <row r="9" spans="2:14" ht="9" customHeight="1" x14ac:dyDescent="0.25"/>
    <row r="10" spans="2:14" ht="21.75" customHeight="1" x14ac:dyDescent="0.25">
      <c r="B10" s="14" t="s">
        <v>1</v>
      </c>
      <c r="C10" s="89"/>
      <c r="D10" s="89"/>
      <c r="E10" s="15"/>
      <c r="F10" s="15"/>
      <c r="G10" s="16" t="e">
        <f>I10+K10+M10</f>
        <v>#N/A</v>
      </c>
      <c r="H10" s="15"/>
      <c r="I10" s="16" t="e">
        <f>VLOOKUP(I6, Data!J2:L21, 2, FALSE)</f>
        <v>#N/A</v>
      </c>
      <c r="J10" s="15"/>
      <c r="K10" s="16" t="e">
        <f>VLOOKUP(K6, Data!J2:L21, 2, FALSE)</f>
        <v>#N/A</v>
      </c>
      <c r="L10" s="16"/>
      <c r="M10" s="16" t="e">
        <f>VLOOKUP(M6, Data!J2:L21, 2, FALSE)</f>
        <v>#N/A</v>
      </c>
      <c r="N10" s="15"/>
    </row>
    <row r="11" spans="2:14" ht="21.75" customHeight="1" x14ac:dyDescent="0.25">
      <c r="B11" s="72" t="s">
        <v>0</v>
      </c>
    </row>
    <row r="12" spans="2:14" ht="21.75" customHeight="1" x14ac:dyDescent="0.25">
      <c r="B12" s="17" t="s">
        <v>2</v>
      </c>
      <c r="C12" s="15"/>
      <c r="D12" s="15"/>
      <c r="E12" s="15"/>
      <c r="F12" s="15"/>
      <c r="G12" s="16" t="e">
        <f>I12+K12+M12</f>
        <v>#N/A</v>
      </c>
      <c r="H12" s="15"/>
      <c r="I12" s="16" t="e">
        <f>VLOOKUP(I6, Data!J2:L21, 3, FALSE)</f>
        <v>#N/A</v>
      </c>
      <c r="J12" s="15"/>
      <c r="K12" s="16" t="e">
        <f>VLOOKUP(K6, Data!J2:L21, 3, FALSE)</f>
        <v>#N/A</v>
      </c>
      <c r="L12" s="16"/>
      <c r="M12" s="16" t="e">
        <f>VLOOKUP(M6, Data!J2:L21, 3, FALSE)</f>
        <v>#N/A</v>
      </c>
      <c r="N12" s="15"/>
    </row>
    <row r="13" spans="2:14" ht="21.75" customHeight="1" x14ac:dyDescent="0.25">
      <c r="B13" s="56" t="s">
        <v>19</v>
      </c>
      <c r="G13" s="6" t="e">
        <f>I13+K13+M13</f>
        <v>#N/A</v>
      </c>
      <c r="I13" s="6" t="e">
        <f>VLOOKUP(I6, Data!J2:M21, 4, FALSE)</f>
        <v>#N/A</v>
      </c>
      <c r="K13" s="6" t="e">
        <f>VLOOKUP(K6, Data!J2:M21, 4, FALSE)</f>
        <v>#N/A</v>
      </c>
      <c r="M13" s="6" t="e">
        <f>VLOOKUP(M6, Data!J2:M21, 4, FALSE)</f>
        <v>#N/A</v>
      </c>
    </row>
    <row r="14" spans="2:14" ht="21.75" customHeight="1" x14ac:dyDescent="0.25">
      <c r="B14" s="102" t="s">
        <v>154</v>
      </c>
      <c r="C14" s="102"/>
      <c r="D14" s="103"/>
      <c r="E14" s="38"/>
      <c r="F14" s="36"/>
      <c r="G14" s="37">
        <f>I14+K14+M14</f>
        <v>0</v>
      </c>
      <c r="H14" s="36"/>
      <c r="I14" s="37">
        <f>IF(AND(E14="Yes", I6&lt;&gt;"not enrolled"), (VLOOKUP(E14, Data!A24:C25, 2, FALSE)), 0)</f>
        <v>0</v>
      </c>
      <c r="J14" s="36"/>
      <c r="K14" s="37">
        <v>0</v>
      </c>
      <c r="L14" s="37"/>
      <c r="M14" s="37">
        <f>IF(AND(E14="Yes", M6&lt;&gt;"not enrolled"), (VLOOKUP(E14, Data!A24:C25, 2, FALSE)), 0)</f>
        <v>0</v>
      </c>
      <c r="N14" s="36"/>
    </row>
    <row r="15" spans="2:14" s="32" customFormat="1" ht="21.75" customHeight="1" x14ac:dyDescent="0.25">
      <c r="B15" s="104" t="s">
        <v>153</v>
      </c>
      <c r="C15" s="104"/>
      <c r="D15" s="105"/>
      <c r="E15" s="101"/>
      <c r="F15" s="39"/>
      <c r="G15" s="40">
        <f>I15+K15+M15</f>
        <v>0</v>
      </c>
      <c r="H15" s="39"/>
      <c r="I15" s="40">
        <f>IF(AND(E15="Yes", I6&lt;&gt;"not enrolled"), (VLOOKUP(E15, Data!A24:C25, 3, FALSE)), 0)</f>
        <v>0</v>
      </c>
      <c r="J15" s="39"/>
      <c r="K15" s="40">
        <f>IF(AND(E15="Yes", K6&lt;&gt;"not enrolled"), (VLOOKUP(E15, Data!A24:C25, 3, FALSE)), 0)</f>
        <v>0</v>
      </c>
      <c r="L15" s="40"/>
      <c r="M15" s="40">
        <f>IF(AND(E15="Yes", M6&lt;&gt;"not enrolled"), (VLOOKUP(E15, Data!A24:C25, 3, FALSE)), 0)</f>
        <v>0</v>
      </c>
      <c r="N15" s="39"/>
    </row>
    <row r="16" spans="2:14" ht="21.75" customHeight="1" x14ac:dyDescent="0.25">
      <c r="C16" s="12" t="s">
        <v>6</v>
      </c>
      <c r="G16" s="13" t="e">
        <f>SUM(G10, G12:G15)</f>
        <v>#N/A</v>
      </c>
      <c r="I16" s="13" t="e">
        <f>SUM(I10,I12:I15)</f>
        <v>#N/A</v>
      </c>
      <c r="K16" s="13" t="e">
        <f>SUM(K10,K12:K15)</f>
        <v>#N/A</v>
      </c>
      <c r="L16" s="13"/>
      <c r="M16" s="13" t="e">
        <f>SUM(M10,M12:M15)</f>
        <v>#N/A</v>
      </c>
    </row>
    <row r="17" spans="2:14" ht="24" customHeight="1" x14ac:dyDescent="0.25"/>
    <row r="18" spans="2:14" ht="15.75" thickBot="1" x14ac:dyDescent="0.3">
      <c r="B18" s="1" t="s">
        <v>11</v>
      </c>
      <c r="C18" s="2"/>
      <c r="D18" s="2"/>
      <c r="E18" s="2"/>
      <c r="F18" s="2"/>
      <c r="G18" s="5" t="s">
        <v>3</v>
      </c>
      <c r="H18" s="4"/>
      <c r="I18" s="5" t="s">
        <v>93</v>
      </c>
      <c r="J18" s="4"/>
      <c r="K18" s="5" t="s">
        <v>94</v>
      </c>
      <c r="L18" s="5"/>
      <c r="M18" s="5" t="s">
        <v>95</v>
      </c>
      <c r="N18" s="2"/>
    </row>
    <row r="19" spans="2:14" ht="21.75" customHeight="1" x14ac:dyDescent="0.25">
      <c r="B19" t="s">
        <v>16</v>
      </c>
      <c r="G19" s="20"/>
      <c r="I19" s="6">
        <f>IF((AND(I6&lt;&gt;"not enrolled", K6&lt;&gt;"not enrolled", M6&lt;&gt;"not enrolled")), (G19/3), IF((AND(I6&lt;&gt;"not enrolled", K6&lt;&gt;"not enrolled", M6="not enrolled")), (G19/2), IF((AND(I6&lt;&gt;"not enrolled", K6="not enrolled", M6="not enrolled")), (G19/1), 0)))</f>
        <v>0</v>
      </c>
      <c r="K19" s="6">
        <f>IF((AND(I6&lt;&gt;"not enrolled", K6&lt;&gt;"not enrolled", M6&lt;&gt;"not enrolled")), (G19/3), IF((AND(I6&lt;&gt;"not enrolled", K6&lt;&gt;"not enrolled", M6="not enrolled")), (G19/2), IF((AND(I6="not enrolled", K6&lt;&gt;"not enrolled", M6&lt;&gt;"not enrolled")), (G19/2), 0)))</f>
        <v>0</v>
      </c>
      <c r="M19" s="6">
        <f>IF((AND(I6&lt;&gt;"not enrolled", K6&lt;&gt;"not enrolled", M6&lt;&gt;"not enrolled")), (G19/3), IF((AND(I6="not enrolled", K6&lt;&gt;"not enrolled", M6&lt;&gt;"not enrolled")), (G19/2), IF((AND(I6="not enrolled", K6="not enrolled", M6&lt;&gt;"not enrolled")), (G19), 0)))</f>
        <v>0</v>
      </c>
    </row>
    <row r="20" spans="2:14" ht="21.75" customHeight="1" x14ac:dyDescent="0.25">
      <c r="B20" s="15" t="s">
        <v>8</v>
      </c>
      <c r="C20" s="15"/>
      <c r="D20" s="15"/>
      <c r="E20" s="15"/>
      <c r="F20" s="15"/>
      <c r="G20" s="21"/>
      <c r="H20" s="15"/>
      <c r="I20" s="16">
        <f>IF((AND(I6&lt;&gt;"not enrolled", K6&lt;&gt;"not enrolled", M6&lt;&gt;"not enrolled")), (G20/3), IF((AND(I6&lt;&gt;"not enrolled", K6&lt;&gt;"not enrolled", M6="not enrolled")), (G20/2), IF((AND(I6&lt;&gt;"not enrolled", K6="not enrolled", M6="not enrolled")), (G20/1), 0)))</f>
        <v>0</v>
      </c>
      <c r="J20" s="15"/>
      <c r="K20" s="16">
        <f>IF((AND(I6&lt;&gt;"not enrolled", K6&lt;&gt;"not enrolled", M6&lt;&gt;"not enrolled")), (G20/3), IF((AND(I6&lt;&gt;"not enrolled", K6&lt;&gt;"not enrolled", M6="not enrolled")), (G20/2), IF((AND(I6="not enrolled", K6&lt;&gt;"not enrolled", M6&lt;&gt;"not enrolled")), (G20/2), 0)))</f>
        <v>0</v>
      </c>
      <c r="L20" s="16"/>
      <c r="M20" s="16">
        <f>IF((AND(I6&lt;&gt;"not enrolled", K6&lt;&gt;"not enrolled", M6&lt;&gt;"not enrolled")), (G20/3), IF((AND(I6="not enrolled", K6&lt;&gt;"not enrolled", M6&lt;&gt;"not enrolled")), (G20/2), IF((AND(I6="not enrolled", K6="not enrolled", M6&lt;&gt;"not enrolled")), (G20), 0)))</f>
        <v>0</v>
      </c>
      <c r="N20" s="15"/>
    </row>
    <row r="21" spans="2:14" ht="21.75" customHeight="1" x14ac:dyDescent="0.25">
      <c r="B21" t="s">
        <v>21</v>
      </c>
      <c r="E21" s="22"/>
      <c r="G21" s="6">
        <f>E21-(E21*0.01062)</f>
        <v>0</v>
      </c>
      <c r="I21" s="6">
        <f>IF((AND(I6&lt;&gt;"not enrolled", K6&lt;&gt;"not enrolled", M6&lt;&gt;"not enrolled")), (G21/3), IF((AND(I6&lt;&gt;"not enrolled", K6&lt;&gt;"not enrolled", M6="not enrolled")), (G21/2), IF((AND(I6&lt;&gt;"not enrolled", K6="not enrolled", M6="not enrolled")), (G21/1), 0)))</f>
        <v>0</v>
      </c>
      <c r="K21" s="6">
        <f>IF((AND(I6&lt;&gt;"not enrolled", K6&lt;&gt;"not enrolled", M6&lt;&gt;"not enrolled")), (G21/3), IF((AND(I6&lt;&gt;"not enrolled", K6&lt;&gt;"not enrolled", M6="not enrolled")), (G21/2), IF((AND(I6="not enrolled", K6&lt;&gt;"not enrolled", M6&lt;&gt;"not enrolled")), (G21/2), 0)))</f>
        <v>0</v>
      </c>
      <c r="M21" s="6">
        <f>IF((AND(I6&lt;&gt;"not enrolled", K6&lt;&gt;"not enrolled", M6&lt;&gt;"not enrolled")), (G21/3), IF((AND(I6="not enrolled", K6&lt;&gt;"not enrolled", M6&lt;&gt;"not enrolled")), (G21/2), IF((AND(I6="not enrolled", K6="not enrolled", M6&lt;&gt;"not enrolled")), (G21), 0)))</f>
        <v>0</v>
      </c>
    </row>
    <row r="22" spans="2:14" ht="21.75" customHeight="1" x14ac:dyDescent="0.25">
      <c r="B22" s="15" t="s">
        <v>22</v>
      </c>
      <c r="C22" s="15"/>
      <c r="D22" s="15"/>
      <c r="E22" s="22"/>
      <c r="F22" s="15"/>
      <c r="G22" s="16">
        <f>E22-(E22*0.04248)</f>
        <v>0</v>
      </c>
      <c r="H22" s="15"/>
      <c r="I22" s="16">
        <f>IF((AND(I6&lt;&gt;"not enrolled", K6&lt;&gt;"not enrolled", M6&lt;&gt;"not enrolled")), (G22/3), IF((AND(I6&lt;&gt;"not enrolled", K6&lt;&gt;"not enrolled", M6="not enrolled")), (G22/2), IF((AND(I6&lt;&gt;"not enrolled", K6="not enrolled", M6="not enrolled")), (G22/1), 0)))</f>
        <v>0</v>
      </c>
      <c r="J22" s="15"/>
      <c r="K22" s="16">
        <f>IF((AND(I6&lt;&gt;"not enrolled", K6&lt;&gt;"not enrolled", M6&lt;&gt;"not enrolled")), (G22/3), IF((AND(I6&lt;&gt;"not enrolled", K6&lt;&gt;"not enrolled", M6="not enrolled")), (G22/2), IF((AND(I6="not enrolled", K6&lt;&gt;"not enrolled", M6&lt;&gt;"not enrolled")), (G22/2), 0)))</f>
        <v>0</v>
      </c>
      <c r="L22" s="16"/>
      <c r="M22" s="16">
        <f>IF((AND(I6&lt;&gt;"not enrolled", K6&lt;&gt;"not enrolled", M6&lt;&gt;"not enrolled")), (G22/3), IF((AND(I6="not enrolled", K6&lt;&gt;"not enrolled", M6&lt;&gt;"not enrolled")), (G22/2), IF((AND(I6="not enrolled", K6="not enrolled", M6&lt;&gt;"not enrolled")), (G22), 0)))</f>
        <v>0</v>
      </c>
      <c r="N22" s="15"/>
    </row>
    <row r="23" spans="2:14" ht="21.75" customHeight="1" x14ac:dyDescent="0.25">
      <c r="B23" s="91" t="s">
        <v>43</v>
      </c>
      <c r="C23" s="91"/>
      <c r="D23" s="91"/>
      <c r="E23" s="91"/>
      <c r="G23" s="21"/>
      <c r="I23" s="6">
        <f>IF((AND(I6&lt;&gt;"not enrolled", K6&lt;&gt;"not enrolled", M6&lt;&gt;"not enrolled")), (G23/3), IF((AND(I6&lt;&gt;"not enrolled", K6&lt;&gt;"not enrolled", M6="not enrolled")), (G23/2), IF((AND(I6&lt;&gt;"not enrolled", K6="not enrolled", M6="not enrolled")), (G23/1), 0)))</f>
        <v>0</v>
      </c>
      <c r="K23" s="6">
        <f>IF((AND(I6&lt;&gt;"not enrolled", K6&lt;&gt;"not enrolled", M6&lt;&gt;"not enrolled")), (G23/3), IF((AND(I6&lt;&gt;"not enrolled", K6&lt;&gt;"not enrolled", M6="not enrolled")), (G23/2), IF((AND(I6="not enrolled", K6&lt;&gt;"not enrolled", M6&lt;&gt;"not enrolled")), (G23/2), 0)))</f>
        <v>0</v>
      </c>
      <c r="M23" s="6">
        <f>IF((AND(I6&lt;&gt;"not enrolled", K6&lt;&gt;"not enrolled", M6&lt;&gt;"not enrolled")), (G23/3), IF((AND(I6="not enrolled", K6&lt;&gt;"not enrolled", M6&lt;&gt;"not enrolled")), (G23/2), IF((AND(I6="not enrolled", K6="not enrolled", M6&lt;&gt;"not enrolled")), (G23), 0)))</f>
        <v>0</v>
      </c>
    </row>
    <row r="24" spans="2:14" ht="21.75" customHeight="1" x14ac:dyDescent="0.25">
      <c r="B24" s="92" t="s">
        <v>44</v>
      </c>
      <c r="C24" s="92"/>
      <c r="D24" s="92"/>
      <c r="E24" s="92"/>
      <c r="F24" s="92"/>
      <c r="G24" s="34">
        <f>I24+K24+M24</f>
        <v>0</v>
      </c>
      <c r="H24" s="33"/>
      <c r="I24" s="23"/>
      <c r="J24" s="33"/>
      <c r="K24" s="23"/>
      <c r="L24" s="41"/>
      <c r="M24" s="29"/>
      <c r="N24" s="33"/>
    </row>
    <row r="25" spans="2:14" ht="21.75" customHeight="1" x14ac:dyDescent="0.25">
      <c r="C25" s="12" t="s">
        <v>10</v>
      </c>
      <c r="G25" s="6">
        <f>SUM(G19:G24)</f>
        <v>0</v>
      </c>
      <c r="I25" s="6">
        <f>SUM(I19:I24)</f>
        <v>0</v>
      </c>
      <c r="K25" s="6">
        <f>SUM(K19:K23,K24)</f>
        <v>0</v>
      </c>
      <c r="M25" s="6">
        <f>SUM(M19:M23,M24)</f>
        <v>0</v>
      </c>
    </row>
    <row r="26" spans="2:14" ht="15.75" thickBot="1" x14ac:dyDescent="0.3"/>
    <row r="27" spans="2:14" ht="21.75" customHeight="1" thickTop="1" thickBot="1" x14ac:dyDescent="0.35">
      <c r="B27" s="19" t="s">
        <v>12</v>
      </c>
      <c r="C27" s="18"/>
      <c r="D27" s="18"/>
      <c r="E27" s="18"/>
      <c r="F27" s="18"/>
      <c r="G27" s="30" t="e">
        <f>G16-G25</f>
        <v>#N/A</v>
      </c>
      <c r="H27" s="31"/>
      <c r="I27" s="30" t="e">
        <f>I16-I25</f>
        <v>#N/A</v>
      </c>
      <c r="J27" s="31"/>
      <c r="K27" s="30" t="e">
        <f>K16-K25</f>
        <v>#N/A</v>
      </c>
      <c r="L27" s="30"/>
      <c r="M27" s="30" t="e">
        <f>M16-M25</f>
        <v>#N/A</v>
      </c>
      <c r="N27" s="18"/>
    </row>
    <row r="28" spans="2:14" ht="15.75" thickTop="1" x14ac:dyDescent="0.25"/>
    <row r="29" spans="2:14" x14ac:dyDescent="0.25">
      <c r="B29" s="12" t="s">
        <v>13</v>
      </c>
    </row>
    <row r="30" spans="2:14" ht="21.75" customHeight="1" x14ac:dyDescent="0.25">
      <c r="B30" s="90" t="s">
        <v>31</v>
      </c>
      <c r="C30" s="90"/>
      <c r="D30" s="90"/>
      <c r="E30" s="90"/>
      <c r="F30" s="90"/>
      <c r="G30" s="90"/>
      <c r="H30" s="90"/>
      <c r="I30" s="90"/>
      <c r="J30" s="90"/>
      <c r="K30" s="90"/>
      <c r="L30" s="90"/>
      <c r="M30" s="90"/>
      <c r="N30" s="90"/>
    </row>
    <row r="31" spans="2:14" ht="21.75" customHeight="1" x14ac:dyDescent="0.25">
      <c r="B31" s="91" t="s">
        <v>20</v>
      </c>
      <c r="C31" s="91"/>
      <c r="D31" s="91"/>
      <c r="E31" s="91"/>
      <c r="F31" s="91"/>
      <c r="G31" s="91"/>
      <c r="H31" s="91"/>
      <c r="I31" s="91"/>
      <c r="J31" s="91"/>
      <c r="K31" s="91"/>
      <c r="L31" s="91"/>
      <c r="M31" s="91"/>
      <c r="N31" s="91"/>
    </row>
    <row r="32" spans="2:14" ht="21.75" customHeight="1" x14ac:dyDescent="0.25">
      <c r="B32" t="s">
        <v>25</v>
      </c>
    </row>
    <row r="33" spans="2:14" ht="51" customHeight="1" x14ac:dyDescent="0.25">
      <c r="B33" s="90" t="s">
        <v>26</v>
      </c>
      <c r="C33" s="90"/>
      <c r="D33" s="90"/>
      <c r="E33" s="90"/>
      <c r="F33" s="90"/>
      <c r="G33" s="90"/>
      <c r="H33" s="90"/>
      <c r="I33" s="90"/>
      <c r="J33" s="90"/>
      <c r="K33" s="90"/>
      <c r="L33" s="90"/>
      <c r="M33" s="90"/>
      <c r="N33" s="90"/>
    </row>
    <row r="34" spans="2:14" ht="21.75" customHeight="1" x14ac:dyDescent="0.25"/>
    <row r="36" spans="2:14" x14ac:dyDescent="0.25">
      <c r="B36" s="82" t="s">
        <v>14</v>
      </c>
      <c r="C36" s="82"/>
      <c r="D36" s="82"/>
      <c r="E36" s="82"/>
      <c r="F36" s="82"/>
      <c r="G36" s="82"/>
      <c r="H36" s="82"/>
      <c r="I36" s="82"/>
      <c r="J36" s="82"/>
      <c r="K36" s="82"/>
      <c r="L36" s="82"/>
      <c r="M36" s="82"/>
      <c r="N36" s="82"/>
    </row>
  </sheetData>
  <sheetProtection sheet="1" selectLockedCells="1"/>
  <mergeCells count="11">
    <mergeCell ref="B31:N31"/>
    <mergeCell ref="B33:N33"/>
    <mergeCell ref="B36:N36"/>
    <mergeCell ref="D2:N2"/>
    <mergeCell ref="B4:N4"/>
    <mergeCell ref="C10:D10"/>
    <mergeCell ref="B23:E23"/>
    <mergeCell ref="B24:F24"/>
    <mergeCell ref="B30:N30"/>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Data!$J$2:$J$21</xm:f>
          </x14:formula1>
          <xm:sqref>M6</xm:sqref>
        </x14:dataValidation>
        <x14:dataValidation type="list" allowBlank="1" showInputMessage="1" showErrorMessage="1">
          <x14:formula1>
            <xm:f>Data!$A$24:$A$25</xm:f>
          </x14:formula1>
          <xm:sqref>E14:E15</xm:sqref>
        </x14:dataValidation>
        <x14:dataValidation type="list" allowBlank="1" showInputMessage="1" showErrorMessage="1">
          <x14:formula1>
            <xm:f>Data!$J$2:$J$21</xm:f>
          </x14:formula1>
          <xm:sqref>I6 K6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2"/>
  <sheetViews>
    <sheetView showGridLines="0" showRowColHeaders="0" showRuler="0" zoomScaleNormal="100" workbookViewId="0">
      <selection activeCell="I6" sqref="I6"/>
    </sheetView>
  </sheetViews>
  <sheetFormatPr defaultRowHeight="15" x14ac:dyDescent="0.25"/>
  <cols>
    <col min="1" max="1" width="4.140625" customWidth="1"/>
    <col min="4" max="4" width="14" customWidth="1"/>
    <col min="5" max="5" width="13.85546875" customWidth="1"/>
    <col min="6" max="6" width="4.28515625" customWidth="1"/>
    <col min="7" max="7" width="15" style="6" customWidth="1"/>
    <col min="8" max="8" width="2.85546875" customWidth="1"/>
    <col min="9" max="9" width="15" style="6" customWidth="1"/>
    <col min="10" max="10" width="2.85546875" customWidth="1"/>
    <col min="11" max="11" width="15" style="6" customWidth="1"/>
    <col min="12" max="12" width="2.85546875" style="6" customWidth="1"/>
    <col min="13" max="13" width="15" style="6" customWidth="1"/>
    <col min="14" max="14" width="2.85546875" style="6" customWidth="1"/>
    <col min="15" max="15" width="15" style="6" customWidth="1"/>
  </cols>
  <sheetData>
    <row r="1" spans="2:15" ht="17.25" customHeight="1" x14ac:dyDescent="0.25"/>
    <row r="2" spans="2:15" ht="47.25" customHeight="1" x14ac:dyDescent="0.35">
      <c r="G2" s="83" t="s">
        <v>45</v>
      </c>
      <c r="H2" s="83"/>
      <c r="I2" s="83"/>
      <c r="J2" s="83"/>
      <c r="K2" s="83"/>
      <c r="L2" s="83"/>
      <c r="M2" s="83"/>
      <c r="N2" s="83"/>
      <c r="O2" s="83"/>
    </row>
    <row r="3" spans="2:15" ht="8.25" customHeight="1" x14ac:dyDescent="0.25">
      <c r="B3" s="24"/>
      <c r="C3" s="24"/>
      <c r="D3" s="24"/>
      <c r="E3" s="24"/>
      <c r="F3" s="24"/>
      <c r="G3" s="25"/>
      <c r="H3" s="26"/>
      <c r="I3" s="26"/>
      <c r="J3" s="26"/>
      <c r="K3" s="26"/>
      <c r="L3" s="26"/>
      <c r="M3" s="26"/>
      <c r="N3" s="26"/>
      <c r="O3" s="26"/>
    </row>
    <row r="4" spans="2:15" ht="9.75" customHeight="1" x14ac:dyDescent="0.25"/>
    <row r="5" spans="2:15" ht="15" customHeight="1" thickBot="1" x14ac:dyDescent="0.3">
      <c r="I5" s="44" t="s">
        <v>137</v>
      </c>
      <c r="J5" s="47"/>
      <c r="K5" s="44" t="s">
        <v>138</v>
      </c>
      <c r="L5" s="48"/>
      <c r="M5" s="44" t="s">
        <v>139</v>
      </c>
      <c r="N5" s="48"/>
      <c r="O5" s="44" t="s">
        <v>140</v>
      </c>
    </row>
    <row r="6" spans="2:15" ht="18" customHeight="1" x14ac:dyDescent="0.3">
      <c r="B6" s="76" t="s">
        <v>15</v>
      </c>
      <c r="E6" s="35"/>
      <c r="F6" s="35"/>
      <c r="G6" s="35"/>
      <c r="H6" s="35"/>
      <c r="I6" s="49"/>
      <c r="K6" s="70"/>
      <c r="L6"/>
      <c r="M6" s="71"/>
      <c r="N6"/>
      <c r="O6" s="71"/>
    </row>
    <row r="7" spans="2:15" ht="18.75" customHeight="1" x14ac:dyDescent="0.25"/>
    <row r="8" spans="2:15" ht="15.75" thickBot="1" x14ac:dyDescent="0.3">
      <c r="B8" s="1" t="s">
        <v>7</v>
      </c>
      <c r="C8" s="2"/>
      <c r="D8" s="2"/>
      <c r="E8" s="2"/>
      <c r="F8" s="2"/>
      <c r="G8" s="5" t="s">
        <v>3</v>
      </c>
      <c r="H8" s="4"/>
      <c r="I8" s="5" t="s">
        <v>93</v>
      </c>
      <c r="J8" s="4"/>
      <c r="K8" s="5" t="s">
        <v>94</v>
      </c>
      <c r="L8" s="5"/>
      <c r="M8" s="5" t="s">
        <v>95</v>
      </c>
      <c r="N8" s="5"/>
      <c r="O8" s="5" t="s">
        <v>141</v>
      </c>
    </row>
    <row r="9" spans="2:15" ht="9" customHeight="1" x14ac:dyDescent="0.25"/>
    <row r="10" spans="2:15" ht="21.75" customHeight="1" x14ac:dyDescent="0.25">
      <c r="B10" s="14" t="s">
        <v>1</v>
      </c>
      <c r="C10" s="89"/>
      <c r="D10" s="89"/>
      <c r="E10" s="15"/>
      <c r="F10" s="15"/>
      <c r="G10" s="16" t="e">
        <f>I10+K10+M10+O10</f>
        <v>#N/A</v>
      </c>
      <c r="H10" s="15"/>
      <c r="I10" s="16" t="e">
        <f>VLOOKUP(I6, Data!A33:D46, 4, FALSE)</f>
        <v>#N/A</v>
      </c>
      <c r="J10" s="15"/>
      <c r="K10" s="16" t="e">
        <f>VLOOKUP(K6, Data!A33:D46, 4, FALSE)</f>
        <v>#N/A</v>
      </c>
      <c r="L10" s="16"/>
      <c r="M10" s="16" t="e">
        <f>VLOOKUP(M6, Data!A33:D46, 4, FALSE)</f>
        <v>#N/A</v>
      </c>
      <c r="N10" s="16"/>
      <c r="O10" s="16" t="e">
        <f>VLOOKUP(O6, Data!A33:D46, 4, FALSE)</f>
        <v>#N/A</v>
      </c>
    </row>
    <row r="11" spans="2:15" ht="21.75" customHeight="1" x14ac:dyDescent="0.25">
      <c r="B11" s="50" t="s">
        <v>2</v>
      </c>
      <c r="C11" s="51"/>
      <c r="D11" s="51"/>
      <c r="E11" s="51"/>
      <c r="F11" s="51"/>
      <c r="G11" s="52" t="e">
        <f>I11+K11+M11+O11</f>
        <v>#N/A</v>
      </c>
      <c r="H11" s="51"/>
      <c r="I11" s="52" t="e">
        <f>VLOOKUP(I6, Data!A33:D46, 3, FALSE)</f>
        <v>#N/A</v>
      </c>
      <c r="J11" s="51"/>
      <c r="K11" s="52" t="e">
        <f>VLOOKUP(K6, Data!A33:D46, 3, FALSE)</f>
        <v>#N/A</v>
      </c>
      <c r="L11" s="52"/>
      <c r="M11" s="52" t="e">
        <f>VLOOKUP(M6, Data!A33:D46, 3, FALSE)</f>
        <v>#N/A</v>
      </c>
      <c r="N11" s="52"/>
      <c r="O11" s="52" t="e">
        <f>VLOOKUP(O6, Data!A33:D46, 3, FALSE)</f>
        <v>#N/A</v>
      </c>
    </row>
    <row r="12" spans="2:15" ht="21.75" customHeight="1" x14ac:dyDescent="0.25">
      <c r="B12" s="24"/>
      <c r="C12" s="59" t="s">
        <v>6</v>
      </c>
      <c r="D12" s="24"/>
      <c r="E12" s="24"/>
      <c r="F12" s="24"/>
      <c r="G12" s="60" t="e">
        <f>SUM(G10:G11)</f>
        <v>#N/A</v>
      </c>
      <c r="H12" s="24"/>
      <c r="I12" s="60" t="e">
        <f>SUM(I10:I11)</f>
        <v>#N/A</v>
      </c>
      <c r="J12" s="24"/>
      <c r="K12" s="60" t="e">
        <f>SUM(K10:K11)</f>
        <v>#N/A</v>
      </c>
      <c r="L12" s="60"/>
      <c r="M12" s="60" t="e">
        <f>SUM(M10:M11)</f>
        <v>#N/A</v>
      </c>
      <c r="N12" s="60"/>
      <c r="O12" s="60" t="e">
        <f>SUM(O10:O11)</f>
        <v>#N/A</v>
      </c>
    </row>
    <row r="13" spans="2:15" ht="24" customHeight="1" x14ac:dyDescent="0.25"/>
    <row r="14" spans="2:15" ht="15.75" thickBot="1" x14ac:dyDescent="0.3">
      <c r="B14" s="1" t="s">
        <v>11</v>
      </c>
      <c r="C14" s="2"/>
      <c r="D14" s="2"/>
      <c r="E14" s="2"/>
      <c r="F14" s="2"/>
      <c r="G14" s="5" t="s">
        <v>3</v>
      </c>
      <c r="H14" s="4"/>
      <c r="I14" s="5" t="s">
        <v>93</v>
      </c>
      <c r="J14" s="4"/>
      <c r="K14" s="5" t="s">
        <v>94</v>
      </c>
      <c r="L14" s="5"/>
      <c r="M14" s="5" t="s">
        <v>95</v>
      </c>
      <c r="N14" s="5"/>
      <c r="O14" s="5" t="s">
        <v>141</v>
      </c>
    </row>
    <row r="15" spans="2:15" ht="21.75" customHeight="1" x14ac:dyDescent="0.25">
      <c r="B15" t="s">
        <v>16</v>
      </c>
      <c r="G15" s="20"/>
      <c r="I15" s="6">
        <f>IF((AND(I6&lt;&gt;"not enrolled",K6&lt;&gt;"not enrolled",M6&lt;&gt;"not enrolled",O6&lt;&gt;"not enrolled")),(G15/4), IF((AND(I6&lt;&gt;"not enrolled",K6&lt;&gt;"not enrolled",M6&lt;&gt;"not enrolled",O6="not enrolled")),(G15/3), IF((AND(I6&lt;&gt;"not enrolled",K6&lt;&gt;"not enrolled",M6="not enrolled",O6="not enrolled")),(G15/2), IF((AND(I6&lt;&gt;"not enrolled",K6="not enrolled",M6="not enrolled",O6="not enrolled")),(G15/1), 0))))</f>
        <v>0</v>
      </c>
      <c r="K15" s="6">
        <f>IF((AND(I6&lt;&gt;"not enrolled",K6&lt;&gt;"not enrolled",M6&lt;&gt;"not enrolled",O6&lt;&gt;"not enrolled")),(G15/4), IF((AND(I6&lt;&gt;"not enrolled",K6&lt;&gt;"not enrolled",M6&lt;&gt;"not enrolled",O6="not enrolled")),(G15/3), IF((AND(I6="not enrolled",K6&lt;&gt;"not enrolled",M6&lt;&gt;"not enrolled",O6&lt;&gt;"not enrolled")),(G15/3), IF((AND(I6&lt;&gt;"not enrolled",K6&lt;&gt;"not enrolled",M6="not enrolled",O6="not enrolled")),(G15/2), 0))))</f>
        <v>0</v>
      </c>
      <c r="M15" s="6">
        <f>IF((AND(I6&lt;&gt;"not enrolled",K6&lt;&gt;"not enrolled",M6&lt;&gt;"not enrolled",O6&lt;&gt;"not enrolled")),(G15/4), IF((AND(I6&lt;&gt;"not enrolled",K6&lt;&gt;"not enrolled",M6&lt;&gt;"not enrolled",O6="not enrolled")),(G15/3), IF((AND(I6="not enrolled",K6&lt;&gt;"not enrolled",M6&lt;&gt;"not enrolled",O6&lt;&gt;"not enrolled")),(G15/3), IF((AND(I6="not enrolled",K6="not enrolled",M6&lt;&gt;"not enrolled",O6&lt;&gt;"not enrolled")),(G15/2), 0))))</f>
        <v>0</v>
      </c>
      <c r="O15" s="6">
        <f>IF((AND(I6&lt;&gt;"not enrolled",K6&lt;&gt;"not enrolled",M6&lt;&gt;"not enrolled",O6&lt;&gt;"not enrolled")),(G15/4), IF((AND(I6="not enrolled",K6&lt;&gt;"not enrolled",M6&lt;&gt;"not enrolled",O6&lt;&gt;"not enrolled")),(G15/3), IF((AND(I6="not enrolled",K6="not enrolled",M6&lt;&gt;"not enrolled",O6&lt;&gt;"not enrolled")),(G15/2),  IF((AND(I6="not enrolled",K6="not enrolled",M6="not enrolled",O6&lt;&gt;"not enrolled")),(G15), 0))))</f>
        <v>0</v>
      </c>
    </row>
    <row r="16" spans="2:15" ht="21.75" customHeight="1" x14ac:dyDescent="0.25">
      <c r="B16" s="15" t="s">
        <v>8</v>
      </c>
      <c r="C16" s="15"/>
      <c r="D16" s="15"/>
      <c r="E16" s="15"/>
      <c r="F16" s="15"/>
      <c r="G16" s="21"/>
      <c r="H16" s="15"/>
      <c r="I16" s="16">
        <f>IF((AND(I6&lt;&gt;"not enrolled",K6&lt;&gt;"not enrolled",M6&lt;&gt;"not enrolled",O6&lt;&gt;"not enrolled")),(G16/4), IF((AND(I6&lt;&gt;"not enrolled",K6&lt;&gt;"not enrolled",M6&lt;&gt;"not enrolled",O6="not enrolled")),(G16/3), IF((AND(I6&lt;&gt;"not enrolled",K6&lt;&gt;"not enrolled",M6="not enrolled",O6="not enrolled")),(G16/2), IF((AND(I6&lt;&gt;"not enrolled",K6="not enrolled",M6="not enrolled",O6="not enrolled")),(G16/1), 0))))</f>
        <v>0</v>
      </c>
      <c r="J16" s="15"/>
      <c r="K16" s="16">
        <f>IF((AND(I6&lt;&gt;"not enrolled",K6&lt;&gt;"not enrolled",M6&lt;&gt;"not enrolled",O6&lt;&gt;"not enrolled")),(G16/4), IF((AND(I6&lt;&gt;"not enrolled",K6&lt;&gt;"not enrolled",M6&lt;&gt;"not enrolled",O6="not enrolled")),(G16/3), IF((AND(I6="not enrolled",K6&lt;&gt;"not enrolled",M6&lt;&gt;"not enrolled",O6&lt;&gt;"not enrolled")),(G16/3), IF((AND(I6&lt;&gt;"not enrolled",K6&lt;&gt;"not enrolled",M6="not enrolled",O6="not enrolled")),(G16/2), 0))))</f>
        <v>0</v>
      </c>
      <c r="L16" s="16"/>
      <c r="M16" s="16">
        <f>IF((AND(I6&lt;&gt;"not enrolled",K6&lt;&gt;"not enrolled",M6&lt;&gt;"not enrolled",O6&lt;&gt;"not enrolled")),(G16/4), IF((AND(I6&lt;&gt;"not enrolled",K6&lt;&gt;"not enrolled",M6&lt;&gt;"not enrolled",O6="not enrolled")),(G16/3), IF((AND(I6="not enrolled",K6&lt;&gt;"not enrolled",M6&lt;&gt;"not enrolled",O6&lt;&gt;"not enrolled")),(G16/3), IF((AND(I6="not enrolled",K6="not enrolled",M6&lt;&gt;"not enrolled",O6&lt;&gt;"not enrolled")),(G16/2), 0))))</f>
        <v>0</v>
      </c>
      <c r="N16" s="16"/>
      <c r="O16" s="16">
        <f>IF((AND(I6&lt;&gt;"not enrolled",K6&lt;&gt;"not enrolled",M6&lt;&gt;"not enrolled",O6&lt;&gt;"not enrolled")),(G16/4), IF((AND(I6="not enrolled",K6&lt;&gt;"not enrolled",M6&lt;&gt;"not enrolled",O6&lt;&gt;"not enrolled")),(G16/3), IF((AND(I6="not enrolled",K6="not enrolled",M6&lt;&gt;"not enrolled",O6&lt;&gt;"not enrolled")),(G16/2),  IF((AND(I6="not enrolled",K6="not enrolled",M6="not enrolled",O6&lt;&gt;"not enrolled")),(G16), 0))))</f>
        <v>0</v>
      </c>
    </row>
    <row r="17" spans="2:15" ht="21.75" customHeight="1" x14ac:dyDescent="0.25">
      <c r="B17" t="s">
        <v>21</v>
      </c>
      <c r="E17" s="22"/>
      <c r="G17" s="6">
        <f>E17-(E17*0.01062)</f>
        <v>0</v>
      </c>
      <c r="I17" s="6">
        <f>IF((AND(I6&lt;&gt;"not enrolled",K6&lt;&gt;"not enrolled",M6&lt;&gt;"not enrolled",O6&lt;&gt;"not enrolled")),(G17/4), IF((AND(I6&lt;&gt;"not enrolled",K6&lt;&gt;"not enrolled",M6&lt;&gt;"not enrolled",O6="not enrolled")),(G17/3), IF((AND(I6&lt;&gt;"not enrolled",K6&lt;&gt;"not enrolled",M6="not enrolled",O6="not enrolled")),(G17/2), IF((AND(I6&lt;&gt;"not enrolled",K6="not enrolled",M6="not enrolled",O6="not enrolled")),(G17/1), 0))))</f>
        <v>0</v>
      </c>
      <c r="K17" s="6">
        <f>IF((AND(I6&lt;&gt;"not enrolled",K6&lt;&gt;"not enrolled",M6&lt;&gt;"not enrolled",O6&lt;&gt;"not enrolled")),(G17/4), IF((AND(I6&lt;&gt;"not enrolled",K6&lt;&gt;"not enrolled",M6&lt;&gt;"not enrolled",O6="not enrolled")),(G17/3), IF((AND(I6="not enrolled",K6&lt;&gt;"not enrolled",M6&lt;&gt;"not enrolled",O6&lt;&gt;"not enrolled")),(G17/3), IF((AND(I6&lt;&gt;"not enrolled",K6&lt;&gt;"not enrolled",M6="not enrolled",O6="not enrolled")),(G17/2), 0))))</f>
        <v>0</v>
      </c>
      <c r="M17" s="6">
        <f>IF((AND(I6&lt;&gt;"not enrolled",K6&lt;&gt;"not enrolled",M6&lt;&gt;"not enrolled",O6&lt;&gt;"not enrolled")),(G17/4), IF((AND(I6&lt;&gt;"not enrolled",K6&lt;&gt;"not enrolled",M6&lt;&gt;"not enrolled",O6="not enrolled")),(G17/3), IF((AND(I6="not enrolled",K6&lt;&gt;"not enrolled",M6&lt;&gt;"not enrolled",O6&lt;&gt;"not enrolled")),(G17/3), IF((AND(I6="not enrolled",K6="not enrolled",M6&lt;&gt;"not enrolled",O6&lt;&gt;"not enrolled")),(G17/2), 0))))</f>
        <v>0</v>
      </c>
      <c r="O17" s="6">
        <f>IF((AND(I6&lt;&gt;"not enrolled",K6&lt;&gt;"not enrolled",M6&lt;&gt;"not enrolled",O6&lt;&gt;"not enrolled")),(G17/4), IF((AND(I6="not enrolled",K6&lt;&gt;"not enrolled",M6&lt;&gt;"not enrolled",O6&lt;&gt;"not enrolled")),(G17/3), IF((AND(I6="not enrolled",K6="not enrolled",M6&lt;&gt;"not enrolled",O6&lt;&gt;"not enrolled")),(G17/2),  IF((AND(I6="not enrolled",K6="not enrolled",M6="not enrolled",O6&lt;&gt;"not enrolled")),(G17), 0))))</f>
        <v>0</v>
      </c>
    </row>
    <row r="18" spans="2:15" ht="21.75" customHeight="1" x14ac:dyDescent="0.25">
      <c r="B18" s="15" t="s">
        <v>22</v>
      </c>
      <c r="C18" s="15"/>
      <c r="D18" s="15"/>
      <c r="E18" s="22"/>
      <c r="F18" s="15"/>
      <c r="G18" s="16">
        <f>E18-(E18*0.04248)</f>
        <v>0</v>
      </c>
      <c r="H18" s="15"/>
      <c r="I18" s="16">
        <f>IF((AND(I6&lt;&gt;"not enrolled",K6&lt;&gt;"not enrolled",M6&lt;&gt;"not enrolled",O6&lt;&gt;"not enrolled")),(G18/4), IF((AND(I6&lt;&gt;"not enrolled",K6&lt;&gt;"not enrolled",M6&lt;&gt;"not enrolled",O6="not enrolled")),(G18/3), IF((AND(I6&lt;&gt;"not enrolled",K6&lt;&gt;"not enrolled",M6="not enrolled",O6="not enrolled")),(G18/2), IF((AND(I6&lt;&gt;"not enrolled",K6="not enrolled",M6="not enrolled",O6="not enrolled")),(G18/1), 0))))</f>
        <v>0</v>
      </c>
      <c r="J18" s="15"/>
      <c r="K18" s="16">
        <f>IF((AND(I6&lt;&gt;"not enrolled",K6&lt;&gt;"not enrolled",M6&lt;&gt;"not enrolled",O6&lt;&gt;"not enrolled")),(G18/4), IF((AND(I6&lt;&gt;"not enrolled",K6&lt;&gt;"not enrolled",M6&lt;&gt;"not enrolled",O6="not enrolled")),(G18/3), IF((AND(I6="not enrolled",K6&lt;&gt;"not enrolled",M6&lt;&gt;"not enrolled",O6&lt;&gt;"not enrolled")),(G18/3), IF((AND(I6&lt;&gt;"not enrolled",K6&lt;&gt;"not enrolled",M6="not enrolled",O6="not enrolled")),(G18/2), 0))))</f>
        <v>0</v>
      </c>
      <c r="L18" s="16"/>
      <c r="M18" s="16">
        <f>IF((AND(I6&lt;&gt;"not enrolled",K6&lt;&gt;"not enrolled",M6&lt;&gt;"not enrolled",O6&lt;&gt;"not enrolled")),(G18/4), IF((AND(I6&lt;&gt;"not enrolled",K6&lt;&gt;"not enrolled",M6&lt;&gt;"not enrolled",O6="not enrolled")),(G18/3), IF((AND(I6="not enrolled",K6&lt;&gt;"not enrolled",M6&lt;&gt;"not enrolled",O6&lt;&gt;"not enrolled")),(G18/3), IF((AND(I6="not enrolled",K6="not enrolled",M6&lt;&gt;"not enrolled",O6&lt;&gt;"not enrolled")),(G18/2), 0))))</f>
        <v>0</v>
      </c>
      <c r="N18" s="16"/>
      <c r="O18" s="16">
        <f>IF((AND(I6&lt;&gt;"not enrolled",K6&lt;&gt;"not enrolled",M6&lt;&gt;"not enrolled",O6&lt;&gt;"not enrolled")),(G18/4), IF((AND(I6="not enrolled",K6&lt;&gt;"not enrolled",M6&lt;&gt;"not enrolled",O6&lt;&gt;"not enrolled")),(G18/3), IF((AND(I6="not enrolled",K6="not enrolled",M6&lt;&gt;"not enrolled",O6&lt;&gt;"not enrolled")),(G18/2),  IF((AND(I6="not enrolled",K6="not enrolled",M6="not enrolled",O6&lt;&gt;"not enrolled")),(G18), 0))))</f>
        <v>0</v>
      </c>
    </row>
    <row r="19" spans="2:15" ht="21.75" customHeight="1" x14ac:dyDescent="0.25">
      <c r="B19" t="s">
        <v>9</v>
      </c>
      <c r="G19" s="21"/>
      <c r="I19" s="6">
        <f>IF((AND(I6&lt;&gt;"not enrolled",K6&lt;&gt;"not enrolled",M6&lt;&gt;"not enrolled",O6&lt;&gt;"not enrolled")),(G19/4), IF((AND(I6&lt;&gt;"not enrolled",K6&lt;&gt;"not enrolled",M6&lt;&gt;"not enrolled",O6="not enrolled")),(G19/3), IF((AND(I6&lt;&gt;"not enrolled",K6&lt;&gt;"not enrolled",M6="not enrolled",O6="not enrolled")),(G19/2), IF((AND(I6&lt;&gt;"not enrolled",K6="not enrolled",M6="not enrolled",O6="not enrolled")),(G19/1), 0))))</f>
        <v>0</v>
      </c>
      <c r="K19" s="6">
        <f>IF((AND(I6&lt;&gt;"not enrolled",K6&lt;&gt;"not enrolled",M6&lt;&gt;"not enrolled",O6&lt;&gt;"not enrolled")),(G19/4), IF((AND(I6&lt;&gt;"not enrolled",K6&lt;&gt;"not enrolled",M6&lt;&gt;"not enrolled",O6="not enrolled")),(G19/3), IF((AND(I6="not enrolled",K6&lt;&gt;"not enrolled",M6&lt;&gt;"not enrolled",O6&lt;&gt;"not enrolled")),(G19/3), IF((AND(I6&lt;&gt;"not enrolled",K6&lt;&gt;"not enrolled",M6="not enrolled",O6="not enrolled")),(G19/2), 0))))</f>
        <v>0</v>
      </c>
      <c r="M19" s="6">
        <f>IF((AND(I6&lt;&gt;"not enrolled",K6&lt;&gt;"not enrolled",M6&lt;&gt;"not enrolled",O6&lt;&gt;"not enrolled")),(G19/4), IF((AND(I6&lt;&gt;"not enrolled",K6&lt;&gt;"not enrolled",M6&lt;&gt;"not enrolled",O6="not enrolled")),(G19/3), IF((AND(I6="not enrolled",K6&lt;&gt;"not enrolled",M6&lt;&gt;"not enrolled",O6&lt;&gt;"not enrolled")),(G19/3), IF((AND(I6="not enrolled",K6="not enrolled",M6&lt;&gt;"not enrolled",O6&lt;&gt;"not enrolled")),(G19/2), 0))))</f>
        <v>0</v>
      </c>
      <c r="O19" s="6">
        <f>IF((AND(I6&lt;&gt;"not enrolled",K6&lt;&gt;"not enrolled",M6&lt;&gt;"not enrolled",O6&lt;&gt;"not enrolled")),(G19/4), IF((AND(I6="not enrolled",K6&lt;&gt;"not enrolled",M6&lt;&gt;"not enrolled",O6&lt;&gt;"not enrolled")),(G19/3), IF((AND(I6="not enrolled",K6="not enrolled",M6&lt;&gt;"not enrolled",O6&lt;&gt;"not enrolled")),(G19/2),  IF((AND(I6="not enrolled",K6="not enrolled",M6="not enrolled",O6&lt;&gt;"not enrolled")),(G19), 0))))</f>
        <v>0</v>
      </c>
    </row>
    <row r="20" spans="2:15" ht="21.75" customHeight="1" x14ac:dyDescent="0.25">
      <c r="B20" s="92" t="s">
        <v>44</v>
      </c>
      <c r="C20" s="92"/>
      <c r="D20" s="92"/>
      <c r="E20" s="92"/>
      <c r="F20" s="92"/>
      <c r="G20" s="34">
        <f>I20+K20+M20+O20</f>
        <v>0</v>
      </c>
      <c r="H20" s="33"/>
      <c r="I20" s="23"/>
      <c r="J20" s="33"/>
      <c r="K20" s="23"/>
      <c r="L20" s="41"/>
      <c r="M20" s="23"/>
      <c r="N20" s="41"/>
      <c r="O20" s="23"/>
    </row>
    <row r="21" spans="2:15" ht="21.75" customHeight="1" x14ac:dyDescent="0.25">
      <c r="C21" s="12" t="s">
        <v>10</v>
      </c>
      <c r="G21" s="6">
        <f>SUM(G15:G20)</f>
        <v>0</v>
      </c>
      <c r="I21" s="6">
        <f>SUM(I15:I20)</f>
        <v>0</v>
      </c>
      <c r="K21" s="6">
        <f>SUM(K15:K20)</f>
        <v>0</v>
      </c>
      <c r="M21" s="6">
        <f>SUM(M15:M20)</f>
        <v>0</v>
      </c>
      <c r="O21" s="6">
        <f>SUM(O15:O20)</f>
        <v>0</v>
      </c>
    </row>
    <row r="22" spans="2:15" ht="15.75" thickBot="1" x14ac:dyDescent="0.3"/>
    <row r="23" spans="2:15" ht="21.75" customHeight="1" thickTop="1" thickBot="1" x14ac:dyDescent="0.35">
      <c r="B23" s="19" t="s">
        <v>12</v>
      </c>
      <c r="C23" s="18"/>
      <c r="D23" s="18"/>
      <c r="E23" s="18"/>
      <c r="F23" s="18"/>
      <c r="G23" s="30" t="e">
        <f>G12-G21</f>
        <v>#N/A</v>
      </c>
      <c r="H23" s="31"/>
      <c r="I23" s="30" t="e">
        <f>I12-I21</f>
        <v>#N/A</v>
      </c>
      <c r="J23" s="31"/>
      <c r="K23" s="30" t="e">
        <f>K12-K21</f>
        <v>#N/A</v>
      </c>
      <c r="L23" s="30"/>
      <c r="M23" s="30" t="e">
        <f>M12-M21</f>
        <v>#N/A</v>
      </c>
      <c r="N23" s="30"/>
      <c r="O23" s="30" t="e">
        <f>O12-O21</f>
        <v>#N/A</v>
      </c>
    </row>
    <row r="24" spans="2:15" ht="15.75" thickTop="1" x14ac:dyDescent="0.25"/>
    <row r="25" spans="2:15" x14ac:dyDescent="0.25">
      <c r="B25" s="12" t="s">
        <v>13</v>
      </c>
    </row>
    <row r="26" spans="2:15" ht="21.75" customHeight="1" x14ac:dyDescent="0.25">
      <c r="B26" s="96" t="s">
        <v>144</v>
      </c>
      <c r="C26" s="90"/>
      <c r="D26" s="90"/>
      <c r="E26" s="90"/>
      <c r="F26" s="90"/>
      <c r="G26" s="90"/>
      <c r="H26" s="90"/>
      <c r="I26" s="90"/>
      <c r="J26" s="90"/>
      <c r="K26" s="90"/>
      <c r="L26" s="90"/>
      <c r="M26" s="90"/>
      <c r="N26" s="90"/>
      <c r="O26" s="90"/>
    </row>
    <row r="27" spans="2:15" ht="21.75" customHeight="1" x14ac:dyDescent="0.25">
      <c r="B27" s="91" t="s">
        <v>20</v>
      </c>
      <c r="C27" s="91"/>
      <c r="D27" s="91"/>
      <c r="E27" s="91"/>
      <c r="F27" s="91"/>
      <c r="G27" s="91"/>
      <c r="H27" s="91"/>
      <c r="I27" s="91"/>
      <c r="J27" s="91"/>
      <c r="K27" s="91"/>
      <c r="L27" s="91"/>
      <c r="M27" s="91"/>
      <c r="N27" s="91"/>
      <c r="O27" s="91"/>
    </row>
    <row r="28" spans="2:15" ht="21.75" customHeight="1" x14ac:dyDescent="0.25">
      <c r="B28" t="s">
        <v>25</v>
      </c>
    </row>
    <row r="29" spans="2:15" ht="51" customHeight="1" x14ac:dyDescent="0.25">
      <c r="B29" s="90" t="s">
        <v>26</v>
      </c>
      <c r="C29" s="90"/>
      <c r="D29" s="90"/>
      <c r="E29" s="90"/>
      <c r="F29" s="90"/>
      <c r="G29" s="90"/>
      <c r="H29" s="90"/>
      <c r="I29" s="90"/>
      <c r="J29" s="90"/>
      <c r="K29" s="90"/>
      <c r="L29" s="90"/>
      <c r="M29" s="90"/>
      <c r="N29" s="90"/>
      <c r="O29" s="90"/>
    </row>
    <row r="30" spans="2:15" ht="21.75" customHeight="1" x14ac:dyDescent="0.25"/>
    <row r="32" spans="2:15" x14ac:dyDescent="0.25">
      <c r="B32" s="82" t="s">
        <v>14</v>
      </c>
      <c r="C32" s="82"/>
      <c r="D32" s="82"/>
      <c r="E32" s="82"/>
      <c r="F32" s="82"/>
      <c r="G32" s="82"/>
      <c r="H32" s="82"/>
      <c r="I32" s="82"/>
      <c r="J32" s="82"/>
      <c r="K32" s="82"/>
      <c r="L32" s="82"/>
      <c r="M32" s="82"/>
      <c r="N32" s="82"/>
      <c r="O32" s="82"/>
    </row>
  </sheetData>
  <sheetProtection sheet="1" selectLockedCells="1"/>
  <mergeCells count="7">
    <mergeCell ref="B29:O29"/>
    <mergeCell ref="B32:O32"/>
    <mergeCell ref="G2:O2"/>
    <mergeCell ref="C10:D10"/>
    <mergeCell ref="B20:F20"/>
    <mergeCell ref="B26:O26"/>
    <mergeCell ref="B27:O27"/>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Data!$A$33:$A$46</xm:f>
          </x14:formula1>
          <xm:sqref>O6</xm:sqref>
        </x14:dataValidation>
        <x14:dataValidation type="list" allowBlank="1" showInputMessage="1" showErrorMessage="1">
          <x14:formula1>
            <xm:f>Data!$A$33:$A$46</xm:f>
          </x14:formula1>
          <xm:sqref>I6 K6 M6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showRowColHeaders="0" showRuler="0" zoomScaleNormal="100" workbookViewId="0">
      <selection activeCell="I6" sqref="I6"/>
    </sheetView>
  </sheetViews>
  <sheetFormatPr defaultRowHeight="15" x14ac:dyDescent="0.25"/>
  <cols>
    <col min="1" max="1" width="4.140625" customWidth="1"/>
    <col min="4" max="4" width="26" customWidth="1"/>
    <col min="5" max="5" width="11.5703125" bestFit="1" customWidth="1"/>
    <col min="7" max="7" width="13.140625" style="6" customWidth="1"/>
    <col min="8" max="8" width="4.7109375" customWidth="1"/>
    <col min="9" max="9" width="13.5703125" style="6" customWidth="1"/>
    <col min="10" max="10" width="4.7109375" customWidth="1"/>
    <col min="11" max="11" width="13.5703125" style="6" customWidth="1"/>
    <col min="12" max="12" width="4.7109375" style="6" customWidth="1"/>
    <col min="13" max="13" width="13.5703125" style="6" customWidth="1"/>
    <col min="14" max="14" width="3.5703125" customWidth="1"/>
  </cols>
  <sheetData>
    <row r="1" spans="2:14" ht="17.25" customHeight="1" x14ac:dyDescent="0.25"/>
    <row r="2" spans="2:14" ht="47.25" customHeight="1" x14ac:dyDescent="0.25">
      <c r="G2" s="87" t="s">
        <v>27</v>
      </c>
      <c r="H2" s="88"/>
      <c r="I2" s="88"/>
      <c r="J2" s="88"/>
      <c r="K2" s="88"/>
      <c r="L2" s="88"/>
      <c r="M2" s="88"/>
      <c r="N2" s="88"/>
    </row>
    <row r="3" spans="2:14" ht="8.25" customHeight="1" x14ac:dyDescent="0.25">
      <c r="B3" s="24"/>
      <c r="C3" s="24"/>
      <c r="D3" s="24"/>
      <c r="E3" s="24"/>
      <c r="F3" s="24"/>
      <c r="G3" s="25"/>
      <c r="H3" s="26"/>
      <c r="I3" s="26"/>
      <c r="J3" s="26"/>
      <c r="K3" s="26"/>
      <c r="L3" s="26"/>
      <c r="M3" s="26"/>
      <c r="N3" s="26"/>
    </row>
    <row r="4" spans="2:14" ht="6.75" customHeight="1" x14ac:dyDescent="0.25">
      <c r="B4" s="86"/>
      <c r="C4" s="86"/>
      <c r="D4" s="86"/>
      <c r="E4" s="86"/>
      <c r="F4" s="86"/>
      <c r="G4" s="86"/>
      <c r="H4" s="86"/>
      <c r="I4" s="86"/>
      <c r="J4" s="86"/>
      <c r="K4" s="86"/>
      <c r="L4" s="86"/>
      <c r="M4" s="86"/>
      <c r="N4" s="86"/>
    </row>
    <row r="5" spans="2:14" ht="19.5" customHeight="1" x14ac:dyDescent="0.25">
      <c r="I5" s="75" t="s">
        <v>137</v>
      </c>
      <c r="K5" s="75" t="s">
        <v>138</v>
      </c>
      <c r="M5" s="75" t="s">
        <v>139</v>
      </c>
    </row>
    <row r="6" spans="2:14" ht="18" customHeight="1" x14ac:dyDescent="0.3">
      <c r="C6" s="8" t="s">
        <v>15</v>
      </c>
      <c r="D6" s="35"/>
      <c r="E6" s="35"/>
      <c r="F6" s="35"/>
      <c r="G6" s="35"/>
      <c r="H6" s="35"/>
      <c r="I6" s="74"/>
      <c r="K6" s="74"/>
      <c r="L6" s="27"/>
      <c r="M6" s="74"/>
      <c r="N6" s="35"/>
    </row>
    <row r="7" spans="2:14" ht="6" customHeight="1" x14ac:dyDescent="0.25"/>
    <row r="8" spans="2:14" ht="15.75" thickBot="1" x14ac:dyDescent="0.3">
      <c r="B8" s="1" t="s">
        <v>7</v>
      </c>
      <c r="C8" s="2"/>
      <c r="D8" s="2"/>
      <c r="E8" s="2"/>
      <c r="F8" s="2"/>
      <c r="G8" s="5" t="s">
        <v>3</v>
      </c>
      <c r="H8" s="4"/>
      <c r="I8" s="5" t="s">
        <v>93</v>
      </c>
      <c r="J8" s="4"/>
      <c r="K8" s="5" t="s">
        <v>94</v>
      </c>
      <c r="L8" s="5"/>
      <c r="M8" s="5" t="s">
        <v>95</v>
      </c>
      <c r="N8" s="2"/>
    </row>
    <row r="9" spans="2:14" ht="9" customHeight="1" x14ac:dyDescent="0.25"/>
    <row r="10" spans="2:14" ht="21.75" customHeight="1" x14ac:dyDescent="0.25">
      <c r="B10" s="14" t="s">
        <v>1</v>
      </c>
      <c r="C10" s="89"/>
      <c r="D10" s="89"/>
      <c r="E10" s="15"/>
      <c r="F10" s="15"/>
      <c r="G10" s="16" t="e">
        <f>I10+K10+M10</f>
        <v>#N/A</v>
      </c>
      <c r="H10" s="15"/>
      <c r="I10" s="16" t="e">
        <f>VLOOKUP(I6, Data!A2:C21, 2, FALSE)</f>
        <v>#N/A</v>
      </c>
      <c r="J10" s="15"/>
      <c r="K10" s="16" t="e">
        <f>VLOOKUP(K6, Data!A2:C21, 2, FALSE)</f>
        <v>#N/A</v>
      </c>
      <c r="L10" s="16"/>
      <c r="M10" s="16" t="e">
        <f>VLOOKUP(M6, Data!A2:C21, 2, FALSE)</f>
        <v>#N/A</v>
      </c>
      <c r="N10" s="15"/>
    </row>
    <row r="11" spans="2:14" ht="21.75" customHeight="1" x14ac:dyDescent="0.25">
      <c r="B11" s="73" t="s">
        <v>0</v>
      </c>
    </row>
    <row r="12" spans="2:14" ht="21.75" customHeight="1" x14ac:dyDescent="0.25">
      <c r="B12" s="17" t="s">
        <v>2</v>
      </c>
      <c r="C12" s="15"/>
      <c r="D12" s="15"/>
      <c r="E12" s="15"/>
      <c r="F12" s="15"/>
      <c r="G12" s="16" t="e">
        <f>I12+K12+M12</f>
        <v>#N/A</v>
      </c>
      <c r="H12" s="15"/>
      <c r="I12" s="16" t="e">
        <f>VLOOKUP(I6, Data!A2:C21, 3, FALSE)</f>
        <v>#N/A</v>
      </c>
      <c r="J12" s="15"/>
      <c r="K12" s="16" t="e">
        <f>VLOOKUP(K6, Data!A2:C21, 3, FALSE)</f>
        <v>#N/A</v>
      </c>
      <c r="L12" s="16"/>
      <c r="M12" s="16" t="e">
        <f>VLOOKUP(M6, Data!A2:C21, 3, FALSE)</f>
        <v>#N/A</v>
      </c>
      <c r="N12" s="15"/>
    </row>
    <row r="13" spans="2:14" ht="21.75" customHeight="1" x14ac:dyDescent="0.25">
      <c r="B13" s="56" t="s">
        <v>19</v>
      </c>
      <c r="G13" s="6" t="e">
        <f>I13+K13+M13</f>
        <v>#N/A</v>
      </c>
      <c r="I13" s="6" t="e">
        <f>IF(I6="not enrolled",0,((VLOOKUP(I6,Data!A2:E21,4,FALSE))+30))</f>
        <v>#N/A</v>
      </c>
      <c r="K13" s="6" t="e">
        <f>IF(K6="not enrolled",0,((VLOOKUP(K6,Data!A2:E21,4,FALSE))+30))</f>
        <v>#N/A</v>
      </c>
      <c r="M13" s="6" t="e">
        <f>IF(M6="not enrolled",0,((VLOOKUP(M6,Data!A2:E21,4,FALSE))+30))</f>
        <v>#N/A</v>
      </c>
    </row>
    <row r="14" spans="2:14" ht="21.75" customHeight="1" x14ac:dyDescent="0.25">
      <c r="B14" s="102" t="s">
        <v>154</v>
      </c>
      <c r="C14" s="102"/>
      <c r="D14" s="103"/>
      <c r="E14" s="38"/>
      <c r="F14" s="36"/>
      <c r="G14" s="37">
        <f>I14+K14+M14</f>
        <v>0</v>
      </c>
      <c r="H14" s="36"/>
      <c r="I14" s="37">
        <f>IF(AND(E14="Yes", I6&lt;&gt;"not enrolled"), (VLOOKUP(E14, Data!A24:C25, 2, FALSE)), 0)</f>
        <v>0</v>
      </c>
      <c r="J14" s="36"/>
      <c r="K14" s="37">
        <v>0</v>
      </c>
      <c r="L14" s="37"/>
      <c r="M14" s="37">
        <f>IF(AND(E14="Yes", M6&lt;&gt;"not enrolled"), (VLOOKUP(E14, Data!A24:C25, 2, FALSE)), 0)</f>
        <v>0</v>
      </c>
      <c r="N14" s="36"/>
    </row>
    <row r="15" spans="2:14" s="32" customFormat="1" ht="21.75" customHeight="1" x14ac:dyDescent="0.25">
      <c r="B15" s="104" t="s">
        <v>153</v>
      </c>
      <c r="C15" s="104"/>
      <c r="D15" s="105"/>
      <c r="E15" s="101"/>
      <c r="F15" s="39"/>
      <c r="G15" s="40">
        <f>I15+K15+M15</f>
        <v>0</v>
      </c>
      <c r="H15" s="39"/>
      <c r="I15" s="40">
        <f>IF(AND(E15="Yes", I6&lt;&gt;"not enrolled"), (VLOOKUP(E15, Data!A24:C25, 3, FALSE)), 0)</f>
        <v>0</v>
      </c>
      <c r="J15" s="39"/>
      <c r="K15" s="40">
        <f>IF(AND(E15="Yes", K6&lt;&gt;"not enrolled"), (VLOOKUP(E15, Data!A24:C25, 3, FALSE)), 0)</f>
        <v>0</v>
      </c>
      <c r="L15" s="40"/>
      <c r="M15" s="40">
        <f>IF(AND(E15="Yes", M6&lt;&gt;"not enrolled"), (VLOOKUP(E15, Data!A24:C25, 3, FALSE)), 0)</f>
        <v>0</v>
      </c>
      <c r="N15" s="39"/>
    </row>
    <row r="16" spans="2:14" ht="21.75" customHeight="1" x14ac:dyDescent="0.25">
      <c r="C16" s="12" t="s">
        <v>6</v>
      </c>
      <c r="G16" s="13" t="e">
        <f>SUM(G10, G12:G15)</f>
        <v>#N/A</v>
      </c>
      <c r="I16" s="13" t="e">
        <f>SUM(I10,I12:I15)</f>
        <v>#N/A</v>
      </c>
      <c r="K16" s="13" t="e">
        <f>SUM(K10,K12:K15)</f>
        <v>#N/A</v>
      </c>
      <c r="L16" s="13"/>
      <c r="M16" s="13" t="e">
        <f>SUM(M10,M12:M15)</f>
        <v>#N/A</v>
      </c>
    </row>
    <row r="17" spans="2:14" ht="24" customHeight="1" x14ac:dyDescent="0.25"/>
    <row r="18" spans="2:14" ht="15.75" thickBot="1" x14ac:dyDescent="0.3">
      <c r="B18" s="1" t="s">
        <v>11</v>
      </c>
      <c r="C18" s="2"/>
      <c r="D18" s="2"/>
      <c r="E18" s="2"/>
      <c r="F18" s="2"/>
      <c r="G18" s="5" t="s">
        <v>3</v>
      </c>
      <c r="H18" s="4"/>
      <c r="I18" s="5" t="s">
        <v>93</v>
      </c>
      <c r="J18" s="4"/>
      <c r="K18" s="5" t="s">
        <v>94</v>
      </c>
      <c r="L18" s="5"/>
      <c r="M18" s="5" t="s">
        <v>95</v>
      </c>
      <c r="N18" s="2"/>
    </row>
    <row r="19" spans="2:14" ht="21.75" customHeight="1" x14ac:dyDescent="0.25">
      <c r="B19" t="s">
        <v>16</v>
      </c>
      <c r="G19" s="20"/>
      <c r="I19" s="6">
        <f>IF((AND(I6&lt;&gt;"not enrolled", K6&lt;&gt;"not enrolled", M6&lt;&gt;"not enrolled")), (G19/3), IF((AND(I6&lt;&gt;"not enrolled", K6&lt;&gt;"not enrolled", M6="not enrolled")), (G19/2), IF((AND(I6&lt;&gt;"not enrolled", K6="not enrolled", M6="not enrolled")), (G19/1), 0)))</f>
        <v>0</v>
      </c>
      <c r="K19" s="6">
        <f>IF((AND(I6&lt;&gt;"not enrolled", K6&lt;&gt;"not enrolled", M6&lt;&gt;"not enrolled")), (G19/3), IF((AND(I6&lt;&gt;"not enrolled", K6&lt;&gt;"not enrolled", M6="not enrolled")), (G19/2), IF((AND(I6="not enrolled", K6&lt;&gt;"not enrolled", M6&lt;&gt;"not enrolled")), (G19/2), 0)))</f>
        <v>0</v>
      </c>
      <c r="M19" s="6">
        <f>IF((AND(I6&lt;&gt;"not enrolled", K6&lt;&gt;"not enrolled", M6&lt;&gt;"not enrolled")), (G19/3), IF((AND(I6="not enrolled", K6&lt;&gt;"not enrolled", M6&lt;&gt;"not enrolled")), (G19/2), IF((AND(I6="not enrolled", K6="not enrolled", M6&lt;&gt;"not enrolled")), (G19), 0)))</f>
        <v>0</v>
      </c>
    </row>
    <row r="20" spans="2:14" ht="21.75" customHeight="1" x14ac:dyDescent="0.25">
      <c r="B20" s="15" t="s">
        <v>8</v>
      </c>
      <c r="C20" s="15"/>
      <c r="D20" s="15"/>
      <c r="E20" s="15"/>
      <c r="F20" s="15"/>
      <c r="G20" s="21"/>
      <c r="H20" s="15"/>
      <c r="I20" s="16">
        <f>IF((AND(I6&lt;&gt;"not enrolled", K6&lt;&gt;"not enrolled", M6&lt;&gt;"not enrolled")), (G20/3), IF((AND(I6&lt;&gt;"not enrolled", K6&lt;&gt;"not enrolled", M6="not enrolled")), (G20/2), IF((AND(I6&lt;&gt;"not enrolled", K6="not enrolled", M6="not enrolled")), (G20/1), 0)))</f>
        <v>0</v>
      </c>
      <c r="J20" s="15"/>
      <c r="K20" s="16">
        <f>IF((AND(I6&lt;&gt;"not enrolled", K6&lt;&gt;"not enrolled", M6&lt;&gt;"not enrolled")), (G20/3), IF((AND(I6&lt;&gt;"not enrolled", K6&lt;&gt;"not enrolled", M6="not enrolled")), (G20/2), IF((AND(I6="not enrolled", K6&lt;&gt;"not enrolled", M6&lt;&gt;"not enrolled")), (G20/2), 0)))</f>
        <v>0</v>
      </c>
      <c r="L20" s="16"/>
      <c r="M20" s="16">
        <f>IF((AND(I6&lt;&gt;"not enrolled", K6&lt;&gt;"not enrolled", M6&lt;&gt;"not enrolled")), (G20/3), IF((AND(I6="not enrolled", K6&lt;&gt;"not enrolled", M6&lt;&gt;"not enrolled")), (G20/2), IF((AND(I6="not enrolled", K6="not enrolled", M6&lt;&gt;"not enrolled")), (G20), 0)))</f>
        <v>0</v>
      </c>
      <c r="N20" s="15"/>
    </row>
    <row r="21" spans="2:14" ht="21.75" customHeight="1" x14ac:dyDescent="0.25">
      <c r="B21" t="s">
        <v>21</v>
      </c>
      <c r="E21" s="22"/>
      <c r="G21" s="6">
        <f>E21-(E21*0.01062)</f>
        <v>0</v>
      </c>
      <c r="I21" s="6">
        <f>IF((AND(I6&lt;&gt;"not enrolled", K6&lt;&gt;"not enrolled", M6&lt;&gt;"not enrolled")), (G21/3), IF((AND(I6&lt;&gt;"not enrolled", K6&lt;&gt;"not enrolled", M6="not enrolled")), (G21/2), IF((AND(I6&lt;&gt;"not enrolled", K6="not enrolled", M6="not enrolled")), (G21/1), 0)))</f>
        <v>0</v>
      </c>
      <c r="K21" s="6">
        <f>IF((AND(I6&lt;&gt;"not enrolled", K6&lt;&gt;"not enrolled", M6&lt;&gt;"not enrolled")), (G21/3), IF((AND(I6&lt;&gt;"not enrolled", K6&lt;&gt;"not enrolled", M6="not enrolled")), (G21/2), IF((AND(I6="not enrolled", K6&lt;&gt;"not enrolled", M6&lt;&gt;"not enrolled")), (G21/2), 0)))</f>
        <v>0</v>
      </c>
      <c r="M21" s="6">
        <f>IF((AND(I6&lt;&gt;"not enrolled", K6&lt;&gt;"not enrolled", M6&lt;&gt;"not enrolled")), (G21/3), IF((AND(I6="not enrolled", K6&lt;&gt;"not enrolled", M6&lt;&gt;"not enrolled")), (G21/2), IF((AND(I6="not enrolled", K6="not enrolled", M6&lt;&gt;"not enrolled")), (G21), 0)))</f>
        <v>0</v>
      </c>
    </row>
    <row r="22" spans="2:14" ht="21.75" customHeight="1" x14ac:dyDescent="0.25">
      <c r="B22" s="15" t="s">
        <v>22</v>
      </c>
      <c r="C22" s="15"/>
      <c r="D22" s="15"/>
      <c r="E22" s="22"/>
      <c r="F22" s="15"/>
      <c r="G22" s="16">
        <f>E22-(E22*0.04248)</f>
        <v>0</v>
      </c>
      <c r="H22" s="15"/>
      <c r="I22" s="16">
        <f>IF((AND(I6&lt;&gt;"not enrolled", K6&lt;&gt;"not enrolled", M6&lt;&gt;"not enrolled")), (G22/3), IF((AND(I6&lt;&gt;"not enrolled", K6&lt;&gt;"not enrolled", M6="not enrolled")), (G22/2), IF((AND(I6&lt;&gt;"not enrolled", K6="not enrolled", M6="not enrolled")), (G22/1), 0)))</f>
        <v>0</v>
      </c>
      <c r="J22" s="15"/>
      <c r="K22" s="16">
        <f>IF((AND(I6&lt;&gt;"not enrolled", K6&lt;&gt;"not enrolled", M6&lt;&gt;"not enrolled")), (G22/3), IF((AND(I6&lt;&gt;"not enrolled", K6&lt;&gt;"not enrolled", M6="not enrolled")), (G22/2), IF((AND(I6="not enrolled", K6&lt;&gt;"not enrolled", M6&lt;&gt;"not enrolled")), (G22/2), 0)))</f>
        <v>0</v>
      </c>
      <c r="L22" s="16"/>
      <c r="M22" s="16">
        <f>IF((AND(I6&lt;&gt;"not enrolled", K6&lt;&gt;"not enrolled", M6&lt;&gt;"not enrolled")), (G22/3), IF((AND(I6="not enrolled", K6&lt;&gt;"not enrolled", M6&lt;&gt;"not enrolled")), (G22/2), IF((AND(I6="not enrolled", K6="not enrolled", M6&lt;&gt;"not enrolled")), (G22), 0)))</f>
        <v>0</v>
      </c>
      <c r="N22" s="15"/>
    </row>
    <row r="23" spans="2:14" ht="21.75" customHeight="1" x14ac:dyDescent="0.25">
      <c r="B23" s="91" t="s">
        <v>43</v>
      </c>
      <c r="C23" s="91"/>
      <c r="D23" s="91"/>
      <c r="E23" s="91"/>
      <c r="G23" s="21"/>
      <c r="I23" s="6">
        <f>IF((AND(I6&lt;&gt;"not enrolled", K6&lt;&gt;"not enrolled", M6&lt;&gt;"not enrolled")), (G23/3), IF((AND(I6&lt;&gt;"not enrolled", K6&lt;&gt;"not enrolled", M6="not enrolled")), (G23/2), IF((AND(I6&lt;&gt;"not enrolled", K6="not enrolled", M6="not enrolled")), (G23/1), 0)))</f>
        <v>0</v>
      </c>
      <c r="K23" s="6">
        <f>IF((AND(I6&lt;&gt;"not enrolled", K6&lt;&gt;"not enrolled", M6&lt;&gt;"not enrolled")), (G23/3), IF((AND(I6&lt;&gt;"not enrolled", K6&lt;&gt;"not enrolled", M6="not enrolled")), (G23/2), IF((AND(I6="not enrolled", K6&lt;&gt;"not enrolled", M6&lt;&gt;"not enrolled")), (G23/2), 0)))</f>
        <v>0</v>
      </c>
      <c r="M23" s="6">
        <f>IF((AND(I6&lt;&gt;"not enrolled", K6&lt;&gt;"not enrolled", M6&lt;&gt;"not enrolled")), (G23/3), IF((AND(I6="not enrolled", K6&lt;&gt;"not enrolled", M6&lt;&gt;"not enrolled")), (G23/2), IF((AND(I6="not enrolled", K6="not enrolled", M6&lt;&gt;"not enrolled")), (G23), 0)))</f>
        <v>0</v>
      </c>
    </row>
    <row r="24" spans="2:14" ht="21.75" customHeight="1" x14ac:dyDescent="0.25">
      <c r="B24" s="92" t="s">
        <v>44</v>
      </c>
      <c r="C24" s="92"/>
      <c r="D24" s="92"/>
      <c r="E24" s="92"/>
      <c r="F24" s="92"/>
      <c r="G24" s="34">
        <f>I24+K24+M24</f>
        <v>0</v>
      </c>
      <c r="H24" s="33"/>
      <c r="I24" s="23"/>
      <c r="J24" s="33"/>
      <c r="K24" s="23"/>
      <c r="L24" s="41"/>
      <c r="M24" s="29"/>
      <c r="N24" s="33"/>
    </row>
    <row r="25" spans="2:14" ht="21.75" customHeight="1" x14ac:dyDescent="0.25">
      <c r="C25" s="12" t="s">
        <v>10</v>
      </c>
      <c r="G25" s="6">
        <f>SUM(G19:G24)</f>
        <v>0</v>
      </c>
      <c r="I25" s="6">
        <f>SUM(I19:I24)</f>
        <v>0</v>
      </c>
      <c r="K25" s="6">
        <f>SUM(K19:K23,K24)</f>
        <v>0</v>
      </c>
      <c r="M25" s="6">
        <f>SUM(M19:M23,M24)</f>
        <v>0</v>
      </c>
    </row>
    <row r="26" spans="2:14" ht="15.75" thickBot="1" x14ac:dyDescent="0.3"/>
    <row r="27" spans="2:14" ht="21.75" customHeight="1" thickTop="1" thickBot="1" x14ac:dyDescent="0.35">
      <c r="B27" s="19" t="s">
        <v>12</v>
      </c>
      <c r="C27" s="18"/>
      <c r="D27" s="18"/>
      <c r="E27" s="18"/>
      <c r="F27" s="18"/>
      <c r="G27" s="30" t="e">
        <f>G16-G25</f>
        <v>#N/A</v>
      </c>
      <c r="H27" s="31"/>
      <c r="I27" s="30" t="e">
        <f>I16-I25</f>
        <v>#N/A</v>
      </c>
      <c r="J27" s="31"/>
      <c r="K27" s="30" t="e">
        <f>K16-K25</f>
        <v>#N/A</v>
      </c>
      <c r="L27" s="30"/>
      <c r="M27" s="30" t="e">
        <f>M16-M25</f>
        <v>#N/A</v>
      </c>
      <c r="N27" s="18"/>
    </row>
    <row r="28" spans="2:14" ht="15.75" thickTop="1" x14ac:dyDescent="0.25"/>
    <row r="29" spans="2:14" x14ac:dyDescent="0.25">
      <c r="B29" s="12" t="s">
        <v>13</v>
      </c>
    </row>
    <row r="30" spans="2:14" ht="36.75" customHeight="1" x14ac:dyDescent="0.25">
      <c r="B30" s="90" t="s">
        <v>24</v>
      </c>
      <c r="C30" s="90"/>
      <c r="D30" s="90"/>
      <c r="E30" s="90"/>
      <c r="F30" s="90"/>
      <c r="G30" s="90"/>
      <c r="H30" s="90"/>
      <c r="I30" s="90"/>
      <c r="J30" s="90"/>
      <c r="K30" s="90"/>
      <c r="L30" s="90"/>
      <c r="M30" s="90"/>
      <c r="N30" s="90"/>
    </row>
    <row r="31" spans="2:14" ht="21.75" customHeight="1" x14ac:dyDescent="0.25">
      <c r="B31" s="91" t="s">
        <v>20</v>
      </c>
      <c r="C31" s="91"/>
      <c r="D31" s="91"/>
      <c r="E31" s="91"/>
      <c r="F31" s="91"/>
      <c r="G31" s="91"/>
      <c r="H31" s="91"/>
      <c r="I31" s="91"/>
      <c r="J31" s="91"/>
      <c r="K31" s="91"/>
      <c r="L31" s="91"/>
      <c r="M31" s="91"/>
      <c r="N31" s="91"/>
    </row>
    <row r="32" spans="2:14" ht="21.75" customHeight="1" x14ac:dyDescent="0.25">
      <c r="B32" t="s">
        <v>25</v>
      </c>
    </row>
    <row r="33" spans="2:14" ht="51" customHeight="1" x14ac:dyDescent="0.25">
      <c r="B33" s="90" t="s">
        <v>26</v>
      </c>
      <c r="C33" s="90"/>
      <c r="D33" s="90"/>
      <c r="E33" s="90"/>
      <c r="F33" s="90"/>
      <c r="G33" s="90"/>
      <c r="H33" s="90"/>
      <c r="I33" s="90"/>
      <c r="J33" s="90"/>
      <c r="K33" s="90"/>
      <c r="L33" s="90"/>
      <c r="M33" s="90"/>
      <c r="N33" s="90"/>
    </row>
    <row r="34" spans="2:14" ht="21.75" customHeight="1" x14ac:dyDescent="0.25"/>
    <row r="36" spans="2:14" x14ac:dyDescent="0.25">
      <c r="B36" s="82" t="s">
        <v>14</v>
      </c>
      <c r="C36" s="82"/>
      <c r="D36" s="82"/>
      <c r="E36" s="82"/>
      <c r="F36" s="82"/>
      <c r="G36" s="82"/>
      <c r="H36" s="82"/>
      <c r="I36" s="82"/>
      <c r="J36" s="82"/>
      <c r="K36" s="82"/>
      <c r="L36" s="82"/>
      <c r="M36" s="82"/>
      <c r="N36" s="82"/>
    </row>
  </sheetData>
  <sheetProtection sheet="1" selectLockedCells="1"/>
  <mergeCells count="11">
    <mergeCell ref="B31:N31"/>
    <mergeCell ref="B33:N33"/>
    <mergeCell ref="B36:N36"/>
    <mergeCell ref="G2:N2"/>
    <mergeCell ref="B4:N4"/>
    <mergeCell ref="C10:D10"/>
    <mergeCell ref="B23:E23"/>
    <mergeCell ref="B24:F24"/>
    <mergeCell ref="B30:N30"/>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Data!$A$24:$A$25</xm:f>
          </x14:formula1>
          <xm:sqref>E14:E15</xm:sqref>
        </x14:dataValidation>
        <x14:dataValidation type="list" allowBlank="1" showInputMessage="1" showErrorMessage="1">
          <x14:formula1>
            <xm:f>Data!$A$2:$A$21</xm:f>
          </x14:formula1>
          <xm:sqref>I6 K6 M6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2"/>
  <sheetViews>
    <sheetView showGridLines="0" showRowColHeaders="0" showRuler="0" zoomScaleNormal="100" workbookViewId="0">
      <selection activeCell="I6" sqref="I6"/>
    </sheetView>
  </sheetViews>
  <sheetFormatPr defaultRowHeight="15" x14ac:dyDescent="0.25"/>
  <cols>
    <col min="1" max="1" width="4.140625" customWidth="1"/>
    <col min="4" max="4" width="14" customWidth="1"/>
    <col min="5" max="5" width="13.85546875" customWidth="1"/>
    <col min="6" max="6" width="4.28515625" customWidth="1"/>
    <col min="7" max="7" width="15" style="6" customWidth="1"/>
    <col min="8" max="8" width="2.85546875" customWidth="1"/>
    <col min="9" max="9" width="15" style="6" customWidth="1"/>
    <col min="10" max="10" width="2.85546875" customWidth="1"/>
    <col min="11" max="11" width="15" style="6" customWidth="1"/>
    <col min="12" max="12" width="2.85546875" style="6" customWidth="1"/>
    <col min="13" max="13" width="15" style="6" customWidth="1"/>
    <col min="14" max="14" width="2.85546875" style="6" customWidth="1"/>
    <col min="15" max="15" width="15" style="6" customWidth="1"/>
  </cols>
  <sheetData>
    <row r="1" spans="2:15" ht="17.25" customHeight="1" x14ac:dyDescent="0.25"/>
    <row r="2" spans="2:15" ht="47.25" customHeight="1" x14ac:dyDescent="0.35">
      <c r="G2" s="83" t="s">
        <v>89</v>
      </c>
      <c r="H2" s="83"/>
      <c r="I2" s="83"/>
      <c r="J2" s="83"/>
      <c r="K2" s="83"/>
      <c r="L2" s="83"/>
      <c r="M2" s="83"/>
      <c r="N2" s="83"/>
      <c r="O2" s="83"/>
    </row>
    <row r="3" spans="2:15" ht="8.25" customHeight="1" x14ac:dyDescent="0.25">
      <c r="B3" s="24"/>
      <c r="C3" s="24"/>
      <c r="D3" s="24"/>
      <c r="E3" s="24"/>
      <c r="F3" s="24"/>
      <c r="G3" s="25"/>
      <c r="H3" s="26"/>
      <c r="I3" s="26"/>
      <c r="J3" s="26"/>
      <c r="K3" s="26"/>
      <c r="L3" s="26"/>
      <c r="M3" s="26"/>
      <c r="N3" s="26"/>
      <c r="O3" s="26"/>
    </row>
    <row r="4" spans="2:15" ht="9.75" customHeight="1" x14ac:dyDescent="0.25"/>
    <row r="5" spans="2:15" ht="15" customHeight="1" thickBot="1" x14ac:dyDescent="0.3">
      <c r="I5" s="44" t="s">
        <v>137</v>
      </c>
      <c r="J5" s="47"/>
      <c r="K5" s="44" t="s">
        <v>138</v>
      </c>
      <c r="L5" s="48"/>
      <c r="M5" s="44" t="s">
        <v>139</v>
      </c>
      <c r="N5" s="48"/>
      <c r="O5" s="44" t="s">
        <v>140</v>
      </c>
    </row>
    <row r="6" spans="2:15" ht="18" customHeight="1" x14ac:dyDescent="0.3">
      <c r="B6" s="76" t="s">
        <v>15</v>
      </c>
      <c r="E6" s="35"/>
      <c r="F6" s="35"/>
      <c r="G6" s="35"/>
      <c r="H6" s="35"/>
      <c r="I6" s="49"/>
      <c r="K6" s="70"/>
      <c r="L6"/>
      <c r="M6" s="71"/>
      <c r="N6"/>
      <c r="O6" s="71"/>
    </row>
    <row r="7" spans="2:15" ht="18.75" customHeight="1" x14ac:dyDescent="0.25"/>
    <row r="8" spans="2:15" ht="15.75" thickBot="1" x14ac:dyDescent="0.3">
      <c r="B8" s="1" t="s">
        <v>7</v>
      </c>
      <c r="C8" s="2"/>
      <c r="D8" s="2"/>
      <c r="E8" s="2"/>
      <c r="F8" s="2"/>
      <c r="G8" s="5" t="s">
        <v>3</v>
      </c>
      <c r="H8" s="4"/>
      <c r="I8" s="5" t="s">
        <v>93</v>
      </c>
      <c r="J8" s="4"/>
      <c r="K8" s="5" t="s">
        <v>94</v>
      </c>
      <c r="L8" s="5"/>
      <c r="M8" s="5" t="s">
        <v>95</v>
      </c>
      <c r="N8" s="5"/>
      <c r="O8" s="5" t="s">
        <v>141</v>
      </c>
    </row>
    <row r="9" spans="2:15" ht="9" customHeight="1" x14ac:dyDescent="0.25"/>
    <row r="10" spans="2:15" ht="21.75" customHeight="1" x14ac:dyDescent="0.25">
      <c r="B10" s="14" t="s">
        <v>1</v>
      </c>
      <c r="C10" s="89"/>
      <c r="D10" s="89"/>
      <c r="E10" s="15"/>
      <c r="F10" s="15"/>
      <c r="G10" s="16" t="e">
        <f>I10+K10+M10+O10</f>
        <v>#N/A</v>
      </c>
      <c r="H10" s="15"/>
      <c r="I10" s="16" t="e">
        <f>VLOOKUP(I6, Data!A33:E46, 5, FALSE)</f>
        <v>#N/A</v>
      </c>
      <c r="J10" s="15"/>
      <c r="K10" s="16" t="e">
        <f>VLOOKUP(K6, Data!A33:E46, 5, FALSE)</f>
        <v>#N/A</v>
      </c>
      <c r="L10" s="16"/>
      <c r="M10" s="16" t="e">
        <f>VLOOKUP(M6, Data!A33:E46, 5, FALSE)</f>
        <v>#N/A</v>
      </c>
      <c r="N10" s="16"/>
      <c r="O10" s="16" t="e">
        <f>VLOOKUP(O6, Data!A33:E46, 5, FALSE)</f>
        <v>#N/A</v>
      </c>
    </row>
    <row r="11" spans="2:15" ht="21.75" customHeight="1" x14ac:dyDescent="0.25">
      <c r="B11" s="50" t="s">
        <v>2</v>
      </c>
      <c r="C11" s="51"/>
      <c r="D11" s="51"/>
      <c r="E11" s="51"/>
      <c r="F11" s="51"/>
      <c r="G11" s="52" t="e">
        <f>I11+K11+M11+O11</f>
        <v>#N/A</v>
      </c>
      <c r="H11" s="51"/>
      <c r="I11" s="52" t="e">
        <f>VLOOKUP(I6, Data!A33:D46, 3, FALSE)</f>
        <v>#N/A</v>
      </c>
      <c r="J11" s="51"/>
      <c r="K11" s="52" t="e">
        <f>VLOOKUP(K6, Data!A33:D46, 3, FALSE)</f>
        <v>#N/A</v>
      </c>
      <c r="L11" s="52"/>
      <c r="M11" s="52" t="e">
        <f>VLOOKUP(M6, Data!A33:D46, 3, FALSE)</f>
        <v>#N/A</v>
      </c>
      <c r="N11" s="52"/>
      <c r="O11" s="52" t="e">
        <f>VLOOKUP(O6, Data!A33:D46, 3, FALSE)</f>
        <v>#N/A</v>
      </c>
    </row>
    <row r="12" spans="2:15" ht="21.75" customHeight="1" x14ac:dyDescent="0.25">
      <c r="B12" s="24"/>
      <c r="C12" s="59" t="s">
        <v>6</v>
      </c>
      <c r="D12" s="24"/>
      <c r="E12" s="24"/>
      <c r="F12" s="24"/>
      <c r="G12" s="60" t="e">
        <f>SUM(G10:G11)</f>
        <v>#N/A</v>
      </c>
      <c r="H12" s="24"/>
      <c r="I12" s="60" t="e">
        <f>SUM(I10:I11)</f>
        <v>#N/A</v>
      </c>
      <c r="J12" s="24"/>
      <c r="K12" s="60" t="e">
        <f>SUM(K10:K11)</f>
        <v>#N/A</v>
      </c>
      <c r="L12" s="60"/>
      <c r="M12" s="60" t="e">
        <f>SUM(M10:M11)</f>
        <v>#N/A</v>
      </c>
      <c r="N12" s="60"/>
      <c r="O12" s="60" t="e">
        <f>SUM(O10:O11)</f>
        <v>#N/A</v>
      </c>
    </row>
    <row r="13" spans="2:15" ht="24" customHeight="1" x14ac:dyDescent="0.25"/>
    <row r="14" spans="2:15" ht="15.75" thickBot="1" x14ac:dyDescent="0.3">
      <c r="B14" s="1" t="s">
        <v>11</v>
      </c>
      <c r="C14" s="2"/>
      <c r="D14" s="2"/>
      <c r="E14" s="2"/>
      <c r="F14" s="2"/>
      <c r="G14" s="5" t="s">
        <v>3</v>
      </c>
      <c r="H14" s="4"/>
      <c r="I14" s="5" t="s">
        <v>93</v>
      </c>
      <c r="J14" s="4"/>
      <c r="K14" s="5" t="s">
        <v>94</v>
      </c>
      <c r="L14" s="5"/>
      <c r="M14" s="5" t="s">
        <v>95</v>
      </c>
      <c r="N14" s="5"/>
      <c r="O14" s="5" t="s">
        <v>141</v>
      </c>
    </row>
    <row r="15" spans="2:15" ht="21.75" customHeight="1" x14ac:dyDescent="0.25">
      <c r="B15" t="s">
        <v>16</v>
      </c>
      <c r="G15" s="20"/>
      <c r="I15" s="6">
        <f>IF((AND(I6&lt;&gt;"not enrolled",K6&lt;&gt;"not enrolled",M6&lt;&gt;"not enrolled",O6&lt;&gt;"not enrolled")),(G15/4), IF((AND(I6&lt;&gt;"not enrolled",K6&lt;&gt;"not enrolled",M6&lt;&gt;"not enrolled",O6="not enrolled")),(G15/3), IF((AND(I6&lt;&gt;"not enrolled",K6&lt;&gt;"not enrolled",M6="not enrolled",O6="not enrolled")),(G15/2), IF((AND(I6&lt;&gt;"not enrolled",K6="not enrolled",M6="not enrolled",O6="not enrolled")),(G15/1), 0))))</f>
        <v>0</v>
      </c>
      <c r="K15" s="6">
        <f>IF((AND(I6&lt;&gt;"not enrolled",K6&lt;&gt;"not enrolled",M6&lt;&gt;"not enrolled",O6&lt;&gt;"not enrolled")),(G15/4), IF((AND(I6&lt;&gt;"not enrolled",K6&lt;&gt;"not enrolled",M6&lt;&gt;"not enrolled",O6="not enrolled")),(G15/3), IF((AND(I6="not enrolled",K6&lt;&gt;"not enrolled",M6&lt;&gt;"not enrolled",O6&lt;&gt;"not enrolled")),(G15/3), IF((AND(I6&lt;&gt;"not enrolled",K6&lt;&gt;"not enrolled",M6="not enrolled",O6="not enrolled")),(G15/2), 0))))</f>
        <v>0</v>
      </c>
      <c r="M15" s="6">
        <f>IF((AND(I6&lt;&gt;"not enrolled",K6&lt;&gt;"not enrolled",M6&lt;&gt;"not enrolled",O6&lt;&gt;"not enrolled")),(G15/4), IF((AND(I6&lt;&gt;"not enrolled",K6&lt;&gt;"not enrolled",M6&lt;&gt;"not enrolled",O6="not enrolled")),(G15/3), IF((AND(I6="not enrolled",K6&lt;&gt;"not enrolled",M6&lt;&gt;"not enrolled",O6&lt;&gt;"not enrolled")),(G15/3), IF((AND(I6="not enrolled",K6="not enrolled",M6&lt;&gt;"not enrolled",O6&lt;&gt;"not enrolled")),(G15/2), 0))))</f>
        <v>0</v>
      </c>
      <c r="O15" s="6">
        <f>IF((AND(I6&lt;&gt;"not enrolled",K6&lt;&gt;"not enrolled",M6&lt;&gt;"not enrolled",O6&lt;&gt;"not enrolled")),(G15/4), IF((AND(I6="not enrolled",K6&lt;&gt;"not enrolled",M6&lt;&gt;"not enrolled",O6&lt;&gt;"not enrolled")),(G15/3), IF((AND(I6="not enrolled",K6="not enrolled",M6&lt;&gt;"not enrolled",O6&lt;&gt;"not enrolled")),(G15/2),  IF((AND(I6="not enrolled",K6="not enrolled",M6="not enrolled",O6&lt;&gt;"not enrolled")),(G15), 0))))</f>
        <v>0</v>
      </c>
    </row>
    <row r="16" spans="2:15" ht="21.75" customHeight="1" x14ac:dyDescent="0.25">
      <c r="B16" s="15" t="s">
        <v>8</v>
      </c>
      <c r="C16" s="15"/>
      <c r="D16" s="15"/>
      <c r="E16" s="15"/>
      <c r="F16" s="15"/>
      <c r="G16" s="21"/>
      <c r="H16" s="15"/>
      <c r="I16" s="16">
        <f>IF((AND(I6&lt;&gt;"not enrolled",K6&lt;&gt;"not enrolled",M6&lt;&gt;"not enrolled",O6&lt;&gt;"not enrolled")),(G16/4), IF((AND(I6&lt;&gt;"not enrolled",K6&lt;&gt;"not enrolled",M6&lt;&gt;"not enrolled",O6="not enrolled")),(G16/3), IF((AND(I6&lt;&gt;"not enrolled",K6&lt;&gt;"not enrolled",M6="not enrolled",O6="not enrolled")),(G16/2), IF((AND(I6&lt;&gt;"not enrolled",K6="not enrolled",M6="not enrolled",O6="not enrolled")),(G16/1), 0))))</f>
        <v>0</v>
      </c>
      <c r="J16" s="15"/>
      <c r="K16" s="16">
        <f>IF((AND(I6&lt;&gt;"not enrolled",K6&lt;&gt;"not enrolled",M6&lt;&gt;"not enrolled",O6&lt;&gt;"not enrolled")),(G16/4), IF((AND(I6&lt;&gt;"not enrolled",K6&lt;&gt;"not enrolled",M6&lt;&gt;"not enrolled",O6="not enrolled")),(G16/3), IF((AND(I6="not enrolled",K6&lt;&gt;"not enrolled",M6&lt;&gt;"not enrolled",O6&lt;&gt;"not enrolled")),(G16/3), IF((AND(I6&lt;&gt;"not enrolled",K6&lt;&gt;"not enrolled",M6="not enrolled",O6="not enrolled")),(G16/2), 0))))</f>
        <v>0</v>
      </c>
      <c r="L16" s="16"/>
      <c r="M16" s="16">
        <f>IF((AND(I6&lt;&gt;"not enrolled",K6&lt;&gt;"not enrolled",M6&lt;&gt;"not enrolled",O6&lt;&gt;"not enrolled")),(G16/4), IF((AND(I6&lt;&gt;"not enrolled",K6&lt;&gt;"not enrolled",M6&lt;&gt;"not enrolled",O6="not enrolled")),(G16/3), IF((AND(I6="not enrolled",K6&lt;&gt;"not enrolled",M6&lt;&gt;"not enrolled",O6&lt;&gt;"not enrolled")),(G16/3), IF((AND(I6="not enrolled",K6="not enrolled",M6&lt;&gt;"not enrolled",O6&lt;&gt;"not enrolled")),(G16/2), 0))))</f>
        <v>0</v>
      </c>
      <c r="N16" s="16"/>
      <c r="O16" s="16">
        <f>IF((AND(I6&lt;&gt;"not enrolled",K6&lt;&gt;"not enrolled",M6&lt;&gt;"not enrolled",O6&lt;&gt;"not enrolled")),(G16/4), IF((AND(I6="not enrolled",K6&lt;&gt;"not enrolled",M6&lt;&gt;"not enrolled",O6&lt;&gt;"not enrolled")),(G16/3), IF((AND(I6="not enrolled",K6="not enrolled",M6&lt;&gt;"not enrolled",O6&lt;&gt;"not enrolled")),(G16/2),  IF((AND(I6="not enrolled",K6="not enrolled",M6="not enrolled",O6&lt;&gt;"not enrolled")),(G16), 0))))</f>
        <v>0</v>
      </c>
    </row>
    <row r="17" spans="2:15" ht="21.75" customHeight="1" x14ac:dyDescent="0.25">
      <c r="B17" t="s">
        <v>21</v>
      </c>
      <c r="E17" s="22"/>
      <c r="G17" s="6">
        <f>E17-(E17*0.01062)</f>
        <v>0</v>
      </c>
      <c r="I17" s="6">
        <f>IF((AND(I6&lt;&gt;"not enrolled",K6&lt;&gt;"not enrolled",M6&lt;&gt;"not enrolled",O6&lt;&gt;"not enrolled")),(G17/4), IF((AND(I6&lt;&gt;"not enrolled",K6&lt;&gt;"not enrolled",M6&lt;&gt;"not enrolled",O6="not enrolled")),(G17/3), IF((AND(I6&lt;&gt;"not enrolled",K6&lt;&gt;"not enrolled",M6="not enrolled",O6="not enrolled")),(G17/2), IF((AND(I6&lt;&gt;"not enrolled",K6="not enrolled",M6="not enrolled",O6="not enrolled")),(G17/1), 0))))</f>
        <v>0</v>
      </c>
      <c r="K17" s="6">
        <f>IF((AND(I6&lt;&gt;"not enrolled",K6&lt;&gt;"not enrolled",M6&lt;&gt;"not enrolled",O6&lt;&gt;"not enrolled")),(G17/4), IF((AND(I6&lt;&gt;"not enrolled",K6&lt;&gt;"not enrolled",M6&lt;&gt;"not enrolled",O6="not enrolled")),(G17/3), IF((AND(I6="not enrolled",K6&lt;&gt;"not enrolled",M6&lt;&gt;"not enrolled",O6&lt;&gt;"not enrolled")),(G17/3), IF((AND(I6&lt;&gt;"not enrolled",K6&lt;&gt;"not enrolled",M6="not enrolled",O6="not enrolled")),(G17/2), 0))))</f>
        <v>0</v>
      </c>
      <c r="M17" s="6">
        <f>IF((AND(I6&lt;&gt;"not enrolled",K6&lt;&gt;"not enrolled",M6&lt;&gt;"not enrolled",O6&lt;&gt;"not enrolled")),(G17/4), IF((AND(I6&lt;&gt;"not enrolled",K6&lt;&gt;"not enrolled",M6&lt;&gt;"not enrolled",O6="not enrolled")),(G17/3), IF((AND(I6="not enrolled",K6&lt;&gt;"not enrolled",M6&lt;&gt;"not enrolled",O6&lt;&gt;"not enrolled")),(G17/3), IF((AND(I6="not enrolled",K6="not enrolled",M6&lt;&gt;"not enrolled",O6&lt;&gt;"not enrolled")),(G17/2), 0))))</f>
        <v>0</v>
      </c>
      <c r="O17" s="6">
        <f>IF((AND(I6&lt;&gt;"not enrolled",K6&lt;&gt;"not enrolled",M6&lt;&gt;"not enrolled",O6&lt;&gt;"not enrolled")),(G17/4), IF((AND(I6="not enrolled",K6&lt;&gt;"not enrolled",M6&lt;&gt;"not enrolled",O6&lt;&gt;"not enrolled")),(G17/3), IF((AND(I6="not enrolled",K6="not enrolled",M6&lt;&gt;"not enrolled",O6&lt;&gt;"not enrolled")),(G17/2),  IF((AND(I6="not enrolled",K6="not enrolled",M6="not enrolled",O6&lt;&gt;"not enrolled")),(G17), 0))))</f>
        <v>0</v>
      </c>
    </row>
    <row r="18" spans="2:15" ht="21.75" customHeight="1" x14ac:dyDescent="0.25">
      <c r="B18" s="15" t="s">
        <v>22</v>
      </c>
      <c r="C18" s="15"/>
      <c r="D18" s="15"/>
      <c r="E18" s="22"/>
      <c r="F18" s="15"/>
      <c r="G18" s="16">
        <f>E18-(E18*0.04248)</f>
        <v>0</v>
      </c>
      <c r="H18" s="15"/>
      <c r="I18" s="16">
        <f>IF((AND(I6&lt;&gt;"not enrolled",K6&lt;&gt;"not enrolled",M6&lt;&gt;"not enrolled",O6&lt;&gt;"not enrolled")),(G18/4), IF((AND(I6&lt;&gt;"not enrolled",K6&lt;&gt;"not enrolled",M6&lt;&gt;"not enrolled",O6="not enrolled")),(G18/3), IF((AND(I6&lt;&gt;"not enrolled",K6&lt;&gt;"not enrolled",M6="not enrolled",O6="not enrolled")),(G18/2), IF((AND(I6&lt;&gt;"not enrolled",K6="not enrolled",M6="not enrolled",O6="not enrolled")),(G18/1), 0))))</f>
        <v>0</v>
      </c>
      <c r="J18" s="15"/>
      <c r="K18" s="16">
        <f>IF((AND(I6&lt;&gt;"not enrolled",K6&lt;&gt;"not enrolled",M6&lt;&gt;"not enrolled",O6&lt;&gt;"not enrolled")),(G18/4), IF((AND(I6&lt;&gt;"not enrolled",K6&lt;&gt;"not enrolled",M6&lt;&gt;"not enrolled",O6="not enrolled")),(G18/3), IF((AND(I6="not enrolled",K6&lt;&gt;"not enrolled",M6&lt;&gt;"not enrolled",O6&lt;&gt;"not enrolled")),(G18/3), IF((AND(I6&lt;&gt;"not enrolled",K6&lt;&gt;"not enrolled",M6="not enrolled",O6="not enrolled")),(G18/2), 0))))</f>
        <v>0</v>
      </c>
      <c r="L18" s="16"/>
      <c r="M18" s="16">
        <f>IF((AND(I6&lt;&gt;"not enrolled",K6&lt;&gt;"not enrolled",M6&lt;&gt;"not enrolled",O6&lt;&gt;"not enrolled")),(G18/4), IF((AND(I6&lt;&gt;"not enrolled",K6&lt;&gt;"not enrolled",M6&lt;&gt;"not enrolled",O6="not enrolled")),(G18/3), IF((AND(I6="not enrolled",K6&lt;&gt;"not enrolled",M6&lt;&gt;"not enrolled",O6&lt;&gt;"not enrolled")),(G18/3), IF((AND(I6="not enrolled",K6="not enrolled",M6&lt;&gt;"not enrolled",O6&lt;&gt;"not enrolled")),(G18/2), 0))))</f>
        <v>0</v>
      </c>
      <c r="N18" s="16"/>
      <c r="O18" s="16">
        <f>IF((AND(I6&lt;&gt;"not enrolled",K6&lt;&gt;"not enrolled",M6&lt;&gt;"not enrolled",O6&lt;&gt;"not enrolled")),(G18/4), IF((AND(I6="not enrolled",K6&lt;&gt;"not enrolled",M6&lt;&gt;"not enrolled",O6&lt;&gt;"not enrolled")),(G18/3), IF((AND(I6="not enrolled",K6="not enrolled",M6&lt;&gt;"not enrolled",O6&lt;&gt;"not enrolled")),(G18/2),  IF((AND(I6="not enrolled",K6="not enrolled",M6="not enrolled",O6&lt;&gt;"not enrolled")),(G18), 0))))</f>
        <v>0</v>
      </c>
    </row>
    <row r="19" spans="2:15" ht="21.75" customHeight="1" x14ac:dyDescent="0.25">
      <c r="B19" t="s">
        <v>9</v>
      </c>
      <c r="G19" s="21"/>
      <c r="I19" s="6">
        <f>IF((AND(I6&lt;&gt;"not enrolled",K6&lt;&gt;"not enrolled",M6&lt;&gt;"not enrolled",O6&lt;&gt;"not enrolled")),(G19/4), IF((AND(I6&lt;&gt;"not enrolled",K6&lt;&gt;"not enrolled",M6&lt;&gt;"not enrolled",O6="not enrolled")),(G19/3), IF((AND(I6&lt;&gt;"not enrolled",K6&lt;&gt;"not enrolled",M6="not enrolled",O6="not enrolled")),(G19/2), IF((AND(I6&lt;&gt;"not enrolled",K6="not enrolled",M6="not enrolled",O6="not enrolled")),(G19/1), 0))))</f>
        <v>0</v>
      </c>
      <c r="K19" s="6">
        <f>IF((AND(I6&lt;&gt;"not enrolled",K6&lt;&gt;"not enrolled",M6&lt;&gt;"not enrolled",O6&lt;&gt;"not enrolled")),(G19/4), IF((AND(I6&lt;&gt;"not enrolled",K6&lt;&gt;"not enrolled",M6&lt;&gt;"not enrolled",O6="not enrolled")),(G19/3), IF((AND(I6="not enrolled",K6&lt;&gt;"not enrolled",M6&lt;&gt;"not enrolled",O6&lt;&gt;"not enrolled")),(G19/3), IF((AND(I6&lt;&gt;"not enrolled",K6&lt;&gt;"not enrolled",M6="not enrolled",O6="not enrolled")),(G19/2), 0))))</f>
        <v>0</v>
      </c>
      <c r="M19" s="6">
        <f>IF((AND(I6&lt;&gt;"not enrolled",K6&lt;&gt;"not enrolled",M6&lt;&gt;"not enrolled",O6&lt;&gt;"not enrolled")),(G19/4), IF((AND(I6&lt;&gt;"not enrolled",K6&lt;&gt;"not enrolled",M6&lt;&gt;"not enrolled",O6="not enrolled")),(G19/3), IF((AND(I6="not enrolled",K6&lt;&gt;"not enrolled",M6&lt;&gt;"not enrolled",O6&lt;&gt;"not enrolled")),(G19/3), IF((AND(I6="not enrolled",K6="not enrolled",M6&lt;&gt;"not enrolled",O6&lt;&gt;"not enrolled")),(G19/2), 0))))</f>
        <v>0</v>
      </c>
      <c r="O19" s="6">
        <f>IF((AND(I6&lt;&gt;"not enrolled",K6&lt;&gt;"not enrolled",M6&lt;&gt;"not enrolled",O6&lt;&gt;"not enrolled")),(G19/4), IF((AND(I6="not enrolled",K6&lt;&gt;"not enrolled",M6&lt;&gt;"not enrolled",O6&lt;&gt;"not enrolled")),(G19/3), IF((AND(I6="not enrolled",K6="not enrolled",M6&lt;&gt;"not enrolled",O6&lt;&gt;"not enrolled")),(G19/2),  IF((AND(I6="not enrolled",K6="not enrolled",M6="not enrolled",O6&lt;&gt;"not enrolled")),(G19), 0))))</f>
        <v>0</v>
      </c>
    </row>
    <row r="20" spans="2:15" ht="21.75" customHeight="1" x14ac:dyDescent="0.25">
      <c r="B20" s="92" t="s">
        <v>44</v>
      </c>
      <c r="C20" s="92"/>
      <c r="D20" s="92"/>
      <c r="E20" s="92"/>
      <c r="F20" s="92"/>
      <c r="G20" s="34">
        <f>I20+K20+M20+O20</f>
        <v>0</v>
      </c>
      <c r="H20" s="33"/>
      <c r="I20" s="23"/>
      <c r="J20" s="33"/>
      <c r="K20" s="23"/>
      <c r="L20" s="41"/>
      <c r="M20" s="23"/>
      <c r="N20" s="41"/>
      <c r="O20" s="23"/>
    </row>
    <row r="21" spans="2:15" ht="21.75" customHeight="1" x14ac:dyDescent="0.25">
      <c r="C21" s="12" t="s">
        <v>10</v>
      </c>
      <c r="G21" s="6">
        <f>SUM(G15:G20)</f>
        <v>0</v>
      </c>
      <c r="I21" s="6">
        <f>SUM(I15:I20)</f>
        <v>0</v>
      </c>
      <c r="K21" s="6">
        <f>SUM(K15:K20)</f>
        <v>0</v>
      </c>
      <c r="M21" s="6">
        <f>SUM(M15:M20)</f>
        <v>0</v>
      </c>
      <c r="O21" s="6">
        <f>SUM(O15:O20)</f>
        <v>0</v>
      </c>
    </row>
    <row r="22" spans="2:15" ht="15.75" thickBot="1" x14ac:dyDescent="0.3"/>
    <row r="23" spans="2:15" ht="21.75" customHeight="1" thickTop="1" thickBot="1" x14ac:dyDescent="0.35">
      <c r="B23" s="19" t="s">
        <v>12</v>
      </c>
      <c r="C23" s="18"/>
      <c r="D23" s="18"/>
      <c r="E23" s="18"/>
      <c r="F23" s="18"/>
      <c r="G23" s="30" t="e">
        <f>G12-G21</f>
        <v>#N/A</v>
      </c>
      <c r="H23" s="31"/>
      <c r="I23" s="30" t="e">
        <f>I12-I21</f>
        <v>#N/A</v>
      </c>
      <c r="J23" s="31"/>
      <c r="K23" s="30" t="e">
        <f>K12-K21</f>
        <v>#N/A</v>
      </c>
      <c r="L23" s="30"/>
      <c r="M23" s="30" t="e">
        <f>M12-M21</f>
        <v>#N/A</v>
      </c>
      <c r="N23" s="30"/>
      <c r="O23" s="30" t="e">
        <f>O12-O21</f>
        <v>#N/A</v>
      </c>
    </row>
    <row r="24" spans="2:15" ht="15.75" thickTop="1" x14ac:dyDescent="0.25"/>
    <row r="25" spans="2:15" x14ac:dyDescent="0.25">
      <c r="B25" s="12" t="s">
        <v>13</v>
      </c>
    </row>
    <row r="26" spans="2:15" ht="21.75" customHeight="1" x14ac:dyDescent="0.25">
      <c r="B26" s="96" t="s">
        <v>145</v>
      </c>
      <c r="C26" s="90"/>
      <c r="D26" s="90"/>
      <c r="E26" s="90"/>
      <c r="F26" s="90"/>
      <c r="G26" s="90"/>
      <c r="H26" s="90"/>
      <c r="I26" s="90"/>
      <c r="J26" s="90"/>
      <c r="K26" s="90"/>
      <c r="L26" s="90"/>
      <c r="M26" s="90"/>
      <c r="N26" s="90"/>
      <c r="O26" s="90"/>
    </row>
    <row r="27" spans="2:15" ht="21.75" customHeight="1" x14ac:dyDescent="0.25">
      <c r="B27" s="91" t="s">
        <v>20</v>
      </c>
      <c r="C27" s="91"/>
      <c r="D27" s="91"/>
      <c r="E27" s="91"/>
      <c r="F27" s="91"/>
      <c r="G27" s="91"/>
      <c r="H27" s="91"/>
      <c r="I27" s="91"/>
      <c r="J27" s="91"/>
      <c r="K27" s="91"/>
      <c r="L27" s="91"/>
      <c r="M27" s="91"/>
      <c r="N27" s="91"/>
      <c r="O27" s="91"/>
    </row>
    <row r="28" spans="2:15" ht="21.75" customHeight="1" x14ac:dyDescent="0.25">
      <c r="B28" t="s">
        <v>25</v>
      </c>
    </row>
    <row r="29" spans="2:15" ht="51" customHeight="1" x14ac:dyDescent="0.25">
      <c r="B29" s="90" t="s">
        <v>26</v>
      </c>
      <c r="C29" s="90"/>
      <c r="D29" s="90"/>
      <c r="E29" s="90"/>
      <c r="F29" s="90"/>
      <c r="G29" s="90"/>
      <c r="H29" s="90"/>
      <c r="I29" s="90"/>
      <c r="J29" s="90"/>
      <c r="K29" s="90"/>
      <c r="L29" s="90"/>
      <c r="M29" s="90"/>
      <c r="N29" s="90"/>
      <c r="O29" s="90"/>
    </row>
    <row r="30" spans="2:15" ht="21.75" customHeight="1" x14ac:dyDescent="0.25"/>
    <row r="32" spans="2:15" x14ac:dyDescent="0.25">
      <c r="B32" s="82" t="s">
        <v>14</v>
      </c>
      <c r="C32" s="82"/>
      <c r="D32" s="82"/>
      <c r="E32" s="82"/>
      <c r="F32" s="82"/>
      <c r="G32" s="82"/>
      <c r="H32" s="82"/>
      <c r="I32" s="82"/>
      <c r="J32" s="82"/>
      <c r="K32" s="82"/>
      <c r="L32" s="82"/>
      <c r="M32" s="82"/>
      <c r="N32" s="82"/>
      <c r="O32" s="82"/>
    </row>
  </sheetData>
  <sheetProtection sheet="1" selectLockedCells="1"/>
  <mergeCells count="7">
    <mergeCell ref="B32:O32"/>
    <mergeCell ref="G2:O2"/>
    <mergeCell ref="C10:D10"/>
    <mergeCell ref="B20:F20"/>
    <mergeCell ref="B26:O26"/>
    <mergeCell ref="B27:O27"/>
    <mergeCell ref="B29:O29"/>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Data!$A$33:$A$46</xm:f>
          </x14:formula1>
          <xm:sqref>I6 K6 M6 O6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2"/>
  <sheetViews>
    <sheetView showGridLines="0" showRowColHeaders="0" showRuler="0" zoomScaleNormal="100" workbookViewId="0">
      <selection activeCell="I6" sqref="I6"/>
    </sheetView>
  </sheetViews>
  <sheetFormatPr defaultRowHeight="15" x14ac:dyDescent="0.25"/>
  <cols>
    <col min="1" max="1" width="4.140625" customWidth="1"/>
    <col min="4" max="4" width="14" customWidth="1"/>
    <col min="5" max="5" width="13.85546875" customWidth="1"/>
    <col min="6" max="6" width="4.28515625" customWidth="1"/>
    <col min="7" max="7" width="15" style="6" customWidth="1"/>
    <col min="8" max="8" width="2.85546875" customWidth="1"/>
    <col min="9" max="9" width="15" style="6" customWidth="1"/>
    <col min="10" max="10" width="2.85546875" customWidth="1"/>
    <col min="11" max="11" width="15" style="6" customWidth="1"/>
    <col min="12" max="12" width="2.85546875" style="6" customWidth="1"/>
    <col min="13" max="13" width="15" style="6" customWidth="1"/>
    <col min="14" max="14" width="2.85546875" style="6" customWidth="1"/>
    <col min="15" max="15" width="15" style="6" customWidth="1"/>
  </cols>
  <sheetData>
    <row r="1" spans="2:15" ht="17.25" customHeight="1" x14ac:dyDescent="0.25"/>
    <row r="2" spans="2:15" ht="47.25" customHeight="1" x14ac:dyDescent="0.35">
      <c r="G2" s="83" t="s">
        <v>146</v>
      </c>
      <c r="H2" s="83"/>
      <c r="I2" s="83"/>
      <c r="J2" s="83"/>
      <c r="K2" s="83"/>
      <c r="L2" s="83"/>
      <c r="M2" s="83"/>
      <c r="N2" s="83"/>
      <c r="O2" s="83"/>
    </row>
    <row r="3" spans="2:15" ht="8.25" customHeight="1" x14ac:dyDescent="0.25">
      <c r="B3" s="24"/>
      <c r="C3" s="24"/>
      <c r="D3" s="24"/>
      <c r="E3" s="24"/>
      <c r="F3" s="24"/>
      <c r="G3" s="25"/>
      <c r="H3" s="26"/>
      <c r="I3" s="26"/>
      <c r="J3" s="26"/>
      <c r="K3" s="26"/>
      <c r="L3" s="26"/>
      <c r="M3" s="26"/>
      <c r="N3" s="26"/>
      <c r="O3" s="26"/>
    </row>
    <row r="4" spans="2:15" ht="9.75" customHeight="1" x14ac:dyDescent="0.25"/>
    <row r="5" spans="2:15" ht="15" customHeight="1" thickBot="1" x14ac:dyDescent="0.3">
      <c r="I5" s="44" t="s">
        <v>137</v>
      </c>
      <c r="J5" s="47"/>
      <c r="K5" s="44" t="s">
        <v>138</v>
      </c>
      <c r="L5" s="48"/>
      <c r="M5" s="44" t="s">
        <v>139</v>
      </c>
      <c r="N5" s="48"/>
      <c r="O5" s="44" t="s">
        <v>140</v>
      </c>
    </row>
    <row r="6" spans="2:15" ht="18" customHeight="1" x14ac:dyDescent="0.3">
      <c r="B6" s="76" t="s">
        <v>15</v>
      </c>
      <c r="E6" s="35"/>
      <c r="F6" s="35"/>
      <c r="G6" s="35"/>
      <c r="H6" s="35"/>
      <c r="I6" s="49"/>
      <c r="K6" s="70"/>
      <c r="L6"/>
      <c r="M6" s="71"/>
      <c r="N6"/>
      <c r="O6" s="71"/>
    </row>
    <row r="7" spans="2:15" ht="18.75" customHeight="1" x14ac:dyDescent="0.25"/>
    <row r="8" spans="2:15" ht="15.75" thickBot="1" x14ac:dyDescent="0.3">
      <c r="B8" s="1" t="s">
        <v>7</v>
      </c>
      <c r="C8" s="2"/>
      <c r="D8" s="2"/>
      <c r="E8" s="2"/>
      <c r="F8" s="2"/>
      <c r="G8" s="5" t="s">
        <v>3</v>
      </c>
      <c r="H8" s="4"/>
      <c r="I8" s="5" t="s">
        <v>93</v>
      </c>
      <c r="J8" s="4"/>
      <c r="K8" s="5" t="s">
        <v>94</v>
      </c>
      <c r="L8" s="5"/>
      <c r="M8" s="5" t="s">
        <v>95</v>
      </c>
      <c r="N8" s="5"/>
      <c r="O8" s="5" t="s">
        <v>141</v>
      </c>
    </row>
    <row r="9" spans="2:15" ht="9" customHeight="1" x14ac:dyDescent="0.25"/>
    <row r="10" spans="2:15" ht="21.75" customHeight="1" x14ac:dyDescent="0.25">
      <c r="B10" s="14" t="s">
        <v>1</v>
      </c>
      <c r="C10" s="89"/>
      <c r="D10" s="89"/>
      <c r="E10" s="15"/>
      <c r="F10" s="15"/>
      <c r="G10" s="16" t="e">
        <f>I10+K10+M10+O10</f>
        <v>#N/A</v>
      </c>
      <c r="H10" s="15"/>
      <c r="I10" s="16" t="e">
        <f>VLOOKUP(I6, Data!G33:H52, 2, FALSE)</f>
        <v>#N/A</v>
      </c>
      <c r="J10" s="15"/>
      <c r="K10" s="16" t="e">
        <f>VLOOKUP(K6, Data!G33:H52, 2, FALSE)</f>
        <v>#N/A</v>
      </c>
      <c r="L10" s="16"/>
      <c r="M10" s="16" t="e">
        <f>VLOOKUP(M6, Data!G33:H52, 2, FALSE)</f>
        <v>#N/A</v>
      </c>
      <c r="N10" s="16"/>
      <c r="O10" s="16" t="e">
        <f>VLOOKUP(O6, Data!G33:H52, 2, FALSE)</f>
        <v>#N/A</v>
      </c>
    </row>
    <row r="11" spans="2:15" ht="21.75" customHeight="1" x14ac:dyDescent="0.25">
      <c r="B11" s="50" t="s">
        <v>2</v>
      </c>
      <c r="C11" s="51"/>
      <c r="D11" s="51"/>
      <c r="E11" s="51"/>
      <c r="F11" s="51"/>
      <c r="G11" s="52" t="e">
        <f>I11+K11+M11+O11</f>
        <v>#N/A</v>
      </c>
      <c r="H11" s="51"/>
      <c r="I11" s="52" t="e">
        <f>VLOOKUP(I6, Data!G33:I52, 3, FALSE)</f>
        <v>#N/A</v>
      </c>
      <c r="J11" s="51"/>
      <c r="K11" s="52" t="e">
        <f>VLOOKUP(K6, Data!G33:I52, 3, FALSE)</f>
        <v>#N/A</v>
      </c>
      <c r="L11" s="52"/>
      <c r="M11" s="52" t="e">
        <f>VLOOKUP(M6, Data!G33:I52, 3, FALSE)</f>
        <v>#N/A</v>
      </c>
      <c r="N11" s="52"/>
      <c r="O11" s="52" t="e">
        <f>VLOOKUP(O6, Data!G33:I52, 3, FALSE)</f>
        <v>#N/A</v>
      </c>
    </row>
    <row r="12" spans="2:15" ht="21.75" customHeight="1" x14ac:dyDescent="0.25">
      <c r="B12" s="24"/>
      <c r="C12" s="59" t="s">
        <v>6</v>
      </c>
      <c r="D12" s="24"/>
      <c r="E12" s="24"/>
      <c r="F12" s="24"/>
      <c r="G12" s="60" t="e">
        <f>SUM(G10:G11)</f>
        <v>#N/A</v>
      </c>
      <c r="H12" s="24"/>
      <c r="I12" s="60" t="e">
        <f>SUM(I10:I11)</f>
        <v>#N/A</v>
      </c>
      <c r="J12" s="24"/>
      <c r="K12" s="60" t="e">
        <f>SUM(K10:K11)</f>
        <v>#N/A</v>
      </c>
      <c r="L12" s="60"/>
      <c r="M12" s="60" t="e">
        <f>SUM(M10:M11)</f>
        <v>#N/A</v>
      </c>
      <c r="N12" s="60"/>
      <c r="O12" s="60" t="e">
        <f>SUM(O10:O11)</f>
        <v>#N/A</v>
      </c>
    </row>
    <row r="13" spans="2:15" ht="24" customHeight="1" x14ac:dyDescent="0.25"/>
    <row r="14" spans="2:15" ht="15.75" thickBot="1" x14ac:dyDescent="0.3">
      <c r="B14" s="1" t="s">
        <v>11</v>
      </c>
      <c r="C14" s="2"/>
      <c r="D14" s="2"/>
      <c r="E14" s="2"/>
      <c r="F14" s="2"/>
      <c r="G14" s="5" t="s">
        <v>3</v>
      </c>
      <c r="H14" s="4"/>
      <c r="I14" s="5" t="s">
        <v>93</v>
      </c>
      <c r="J14" s="4"/>
      <c r="K14" s="5" t="s">
        <v>94</v>
      </c>
      <c r="L14" s="5"/>
      <c r="M14" s="5" t="s">
        <v>95</v>
      </c>
      <c r="N14" s="5"/>
      <c r="O14" s="5" t="s">
        <v>141</v>
      </c>
    </row>
    <row r="15" spans="2:15" ht="21.75" customHeight="1" x14ac:dyDescent="0.25">
      <c r="B15" t="s">
        <v>16</v>
      </c>
      <c r="G15" s="20"/>
      <c r="I15" s="6">
        <f>IF((AND(I6&lt;&gt;"not enrolled",K6&lt;&gt;"not enrolled",M6&lt;&gt;"not enrolled",O6&lt;&gt;"not enrolled")),(G15/4), IF((AND(I6&lt;&gt;"not enrolled",K6&lt;&gt;"not enrolled",M6&lt;&gt;"not enrolled",O6="not enrolled")),(G15/3), IF((AND(I6&lt;&gt;"not enrolled",K6&lt;&gt;"not enrolled",M6="not enrolled",O6="not enrolled")),(G15/2), IF((AND(I6&lt;&gt;"not enrolled",K6="not enrolled",M6="not enrolled",O6="not enrolled")),(G15/1), 0))))</f>
        <v>0</v>
      </c>
      <c r="K15" s="6">
        <f>IF((AND(I6&lt;&gt;"not enrolled",K6&lt;&gt;"not enrolled",M6&lt;&gt;"not enrolled",O6&lt;&gt;"not enrolled")),(G15/4), IF((AND(I6&lt;&gt;"not enrolled",K6&lt;&gt;"not enrolled",M6&lt;&gt;"not enrolled",O6="not enrolled")),(G15/3), IF((AND(I6="not enrolled",K6&lt;&gt;"not enrolled",M6&lt;&gt;"not enrolled",O6&lt;&gt;"not enrolled")),(G15/3), IF((AND(I6&lt;&gt;"not enrolled",K6&lt;&gt;"not enrolled",M6="not enrolled",O6="not enrolled")),(G15/2), 0))))</f>
        <v>0</v>
      </c>
      <c r="M15" s="6">
        <f>IF((AND(I6&lt;&gt;"not enrolled",K6&lt;&gt;"not enrolled",M6&lt;&gt;"not enrolled",O6&lt;&gt;"not enrolled")),(G15/4), IF((AND(I6&lt;&gt;"not enrolled",K6&lt;&gt;"not enrolled",M6&lt;&gt;"not enrolled",O6="not enrolled")),(G15/3), IF((AND(I6="not enrolled",K6&lt;&gt;"not enrolled",M6&lt;&gt;"not enrolled",O6&lt;&gt;"not enrolled")),(G15/3), IF((AND(I6="not enrolled",K6="not enrolled",M6&lt;&gt;"not enrolled",O6&lt;&gt;"not enrolled")),(G15/2), 0))))</f>
        <v>0</v>
      </c>
      <c r="O15" s="6">
        <f>IF((AND(I6&lt;&gt;"not enrolled",K6&lt;&gt;"not enrolled",M6&lt;&gt;"not enrolled",O6&lt;&gt;"not enrolled")),(G15/4), IF((AND(I6="not enrolled",K6&lt;&gt;"not enrolled",M6&lt;&gt;"not enrolled",O6&lt;&gt;"not enrolled")),(G15/3), IF((AND(I6="not enrolled",K6="not enrolled",M6&lt;&gt;"not enrolled",O6&lt;&gt;"not enrolled")),(G15/2),  IF((AND(I6="not enrolled",K6="not enrolled",M6="not enrolled",O6&lt;&gt;"not enrolled")),(G15), 0))))</f>
        <v>0</v>
      </c>
    </row>
    <row r="16" spans="2:15" ht="21.75" customHeight="1" x14ac:dyDescent="0.25">
      <c r="B16" s="15" t="s">
        <v>8</v>
      </c>
      <c r="C16" s="15"/>
      <c r="D16" s="15"/>
      <c r="E16" s="15"/>
      <c r="F16" s="15"/>
      <c r="G16" s="21"/>
      <c r="H16" s="15"/>
      <c r="I16" s="16">
        <f>IF((AND(I6&lt;&gt;"not enrolled",K6&lt;&gt;"not enrolled",M6&lt;&gt;"not enrolled",O6&lt;&gt;"not enrolled")),(G16/4), IF((AND(I6&lt;&gt;"not enrolled",K6&lt;&gt;"not enrolled",M6&lt;&gt;"not enrolled",O6="not enrolled")),(G16/3), IF((AND(I6&lt;&gt;"not enrolled",K6&lt;&gt;"not enrolled",M6="not enrolled",O6="not enrolled")),(G16/2), IF((AND(I6&lt;&gt;"not enrolled",K6="not enrolled",M6="not enrolled",O6="not enrolled")),(G16/1), 0))))</f>
        <v>0</v>
      </c>
      <c r="J16" s="15"/>
      <c r="K16" s="16">
        <f>IF((AND(I6&lt;&gt;"not enrolled",K6&lt;&gt;"not enrolled",M6&lt;&gt;"not enrolled",O6&lt;&gt;"not enrolled")),(G16/4), IF((AND(I6&lt;&gt;"not enrolled",K6&lt;&gt;"not enrolled",M6&lt;&gt;"not enrolled",O6="not enrolled")),(G16/3), IF((AND(I6="not enrolled",K6&lt;&gt;"not enrolled",M6&lt;&gt;"not enrolled",O6&lt;&gt;"not enrolled")),(G16/3), IF((AND(I6&lt;&gt;"not enrolled",K6&lt;&gt;"not enrolled",M6="not enrolled",O6="not enrolled")),(G16/2), 0))))</f>
        <v>0</v>
      </c>
      <c r="L16" s="16"/>
      <c r="M16" s="16">
        <f>IF((AND(I6&lt;&gt;"not enrolled",K6&lt;&gt;"not enrolled",M6&lt;&gt;"not enrolled",O6&lt;&gt;"not enrolled")),(G16/4), IF((AND(I6&lt;&gt;"not enrolled",K6&lt;&gt;"not enrolled",M6&lt;&gt;"not enrolled",O6="not enrolled")),(G16/3), IF((AND(I6="not enrolled",K6&lt;&gt;"not enrolled",M6&lt;&gt;"not enrolled",O6&lt;&gt;"not enrolled")),(G16/3), IF((AND(I6="not enrolled",K6="not enrolled",M6&lt;&gt;"not enrolled",O6&lt;&gt;"not enrolled")),(G16/2), 0))))</f>
        <v>0</v>
      </c>
      <c r="N16" s="16"/>
      <c r="O16" s="16">
        <f>IF((AND(I6&lt;&gt;"not enrolled",K6&lt;&gt;"not enrolled",M6&lt;&gt;"not enrolled",O6&lt;&gt;"not enrolled")),(G16/4), IF((AND(I6="not enrolled",K6&lt;&gt;"not enrolled",M6&lt;&gt;"not enrolled",O6&lt;&gt;"not enrolled")),(G16/3), IF((AND(I6="not enrolled",K6="not enrolled",M6&lt;&gt;"not enrolled",O6&lt;&gt;"not enrolled")),(G16/2),  IF((AND(I6="not enrolled",K6="not enrolled",M6="not enrolled",O6&lt;&gt;"not enrolled")),(G16), 0))))</f>
        <v>0</v>
      </c>
    </row>
    <row r="17" spans="2:15" ht="21.75" customHeight="1" x14ac:dyDescent="0.25">
      <c r="B17" t="s">
        <v>21</v>
      </c>
      <c r="E17" s="22"/>
      <c r="G17" s="6">
        <f>E17-(E17*0.01062)</f>
        <v>0</v>
      </c>
      <c r="I17" s="6">
        <f>IF((AND(I6&lt;&gt;"not enrolled",K6&lt;&gt;"not enrolled",M6&lt;&gt;"not enrolled",O6&lt;&gt;"not enrolled")),(G17/4), IF((AND(I6&lt;&gt;"not enrolled",K6&lt;&gt;"not enrolled",M6&lt;&gt;"not enrolled",O6="not enrolled")),(G17/3), IF((AND(I6&lt;&gt;"not enrolled",K6&lt;&gt;"not enrolled",M6="not enrolled",O6="not enrolled")),(G17/2), IF((AND(I6&lt;&gt;"not enrolled",K6="not enrolled",M6="not enrolled",O6="not enrolled")),(G17/1), 0))))</f>
        <v>0</v>
      </c>
      <c r="K17" s="6">
        <f>IF((AND(I6&lt;&gt;"not enrolled",K6&lt;&gt;"not enrolled",M6&lt;&gt;"not enrolled",O6&lt;&gt;"not enrolled")),(G17/4), IF((AND(I6&lt;&gt;"not enrolled",K6&lt;&gt;"not enrolled",M6&lt;&gt;"not enrolled",O6="not enrolled")),(G17/3), IF((AND(I6="not enrolled",K6&lt;&gt;"not enrolled",M6&lt;&gt;"not enrolled",O6&lt;&gt;"not enrolled")),(G17/3), IF((AND(I6&lt;&gt;"not enrolled",K6&lt;&gt;"not enrolled",M6="not enrolled",O6="not enrolled")),(G17/2), 0))))</f>
        <v>0</v>
      </c>
      <c r="M17" s="6">
        <f>IF((AND(I6&lt;&gt;"not enrolled",K6&lt;&gt;"not enrolled",M6&lt;&gt;"not enrolled",O6&lt;&gt;"not enrolled")),(G17/4), IF((AND(I6&lt;&gt;"not enrolled",K6&lt;&gt;"not enrolled",M6&lt;&gt;"not enrolled",O6="not enrolled")),(G17/3), IF((AND(I6="not enrolled",K6&lt;&gt;"not enrolled",M6&lt;&gt;"not enrolled",O6&lt;&gt;"not enrolled")),(G17/3), IF((AND(I6="not enrolled",K6="not enrolled",M6&lt;&gt;"not enrolled",O6&lt;&gt;"not enrolled")),(G17/2), 0))))</f>
        <v>0</v>
      </c>
      <c r="O17" s="6">
        <f>IF((AND(I6&lt;&gt;"not enrolled",K6&lt;&gt;"not enrolled",M6&lt;&gt;"not enrolled",O6&lt;&gt;"not enrolled")),(G17/4), IF((AND(I6="not enrolled",K6&lt;&gt;"not enrolled",M6&lt;&gt;"not enrolled",O6&lt;&gt;"not enrolled")),(G17/3), IF((AND(I6="not enrolled",K6="not enrolled",M6&lt;&gt;"not enrolled",O6&lt;&gt;"not enrolled")),(G17/2),  IF((AND(I6="not enrolled",K6="not enrolled",M6="not enrolled",O6&lt;&gt;"not enrolled")),(G17), 0))))</f>
        <v>0</v>
      </c>
    </row>
    <row r="18" spans="2:15" ht="21.75" customHeight="1" x14ac:dyDescent="0.25">
      <c r="B18" s="15" t="s">
        <v>22</v>
      </c>
      <c r="C18" s="15"/>
      <c r="D18" s="15"/>
      <c r="E18" s="22"/>
      <c r="F18" s="15"/>
      <c r="G18" s="16">
        <f>E18-(E18*0.04248)</f>
        <v>0</v>
      </c>
      <c r="H18" s="15"/>
      <c r="I18" s="16">
        <f>IF((AND(I6&lt;&gt;"not enrolled",K6&lt;&gt;"not enrolled",M6&lt;&gt;"not enrolled",O6&lt;&gt;"not enrolled")),(G18/4), IF((AND(I6&lt;&gt;"not enrolled",K6&lt;&gt;"not enrolled",M6&lt;&gt;"not enrolled",O6="not enrolled")),(G18/3), IF((AND(I6&lt;&gt;"not enrolled",K6&lt;&gt;"not enrolled",M6="not enrolled",O6="not enrolled")),(G18/2), IF((AND(I6&lt;&gt;"not enrolled",K6="not enrolled",M6="not enrolled",O6="not enrolled")),(G18/1), 0))))</f>
        <v>0</v>
      </c>
      <c r="J18" s="15"/>
      <c r="K18" s="16">
        <f>IF((AND(I6&lt;&gt;"not enrolled",K6&lt;&gt;"not enrolled",M6&lt;&gt;"not enrolled",O6&lt;&gt;"not enrolled")),(G18/4), IF((AND(I6&lt;&gt;"not enrolled",K6&lt;&gt;"not enrolled",M6&lt;&gt;"not enrolled",O6="not enrolled")),(G18/3), IF((AND(I6="not enrolled",K6&lt;&gt;"not enrolled",M6&lt;&gt;"not enrolled",O6&lt;&gt;"not enrolled")),(G18/3), IF((AND(I6&lt;&gt;"not enrolled",K6&lt;&gt;"not enrolled",M6="not enrolled",O6="not enrolled")),(G18/2), 0))))</f>
        <v>0</v>
      </c>
      <c r="L18" s="16"/>
      <c r="M18" s="16">
        <f>IF((AND(I6&lt;&gt;"not enrolled",K6&lt;&gt;"not enrolled",M6&lt;&gt;"not enrolled",O6&lt;&gt;"not enrolled")),(G18/4), IF((AND(I6&lt;&gt;"not enrolled",K6&lt;&gt;"not enrolled",M6&lt;&gt;"not enrolled",O6="not enrolled")),(G18/3), IF((AND(I6="not enrolled",K6&lt;&gt;"not enrolled",M6&lt;&gt;"not enrolled",O6&lt;&gt;"not enrolled")),(G18/3), IF((AND(I6="not enrolled",K6="not enrolled",M6&lt;&gt;"not enrolled",O6&lt;&gt;"not enrolled")),(G18/2), 0))))</f>
        <v>0</v>
      </c>
      <c r="N18" s="16"/>
      <c r="O18" s="16">
        <f>IF((AND(I6&lt;&gt;"not enrolled",K6&lt;&gt;"not enrolled",M6&lt;&gt;"not enrolled",O6&lt;&gt;"not enrolled")),(G18/4), IF((AND(I6="not enrolled",K6&lt;&gt;"not enrolled",M6&lt;&gt;"not enrolled",O6&lt;&gt;"not enrolled")),(G18/3), IF((AND(I6="not enrolled",K6="not enrolled",M6&lt;&gt;"not enrolled",O6&lt;&gt;"not enrolled")),(G18/2),  IF((AND(I6="not enrolled",K6="not enrolled",M6="not enrolled",O6&lt;&gt;"not enrolled")),(G18), 0))))</f>
        <v>0</v>
      </c>
    </row>
    <row r="19" spans="2:15" ht="21.75" customHeight="1" x14ac:dyDescent="0.25">
      <c r="B19" t="s">
        <v>9</v>
      </c>
      <c r="G19" s="21"/>
      <c r="I19" s="6">
        <f>IF((AND(I6&lt;&gt;"not enrolled",K6&lt;&gt;"not enrolled",M6&lt;&gt;"not enrolled",O6&lt;&gt;"not enrolled")),(G19/4), IF((AND(I6&lt;&gt;"not enrolled",K6&lt;&gt;"not enrolled",M6&lt;&gt;"not enrolled",O6="not enrolled")),(G19/3), IF((AND(I6&lt;&gt;"not enrolled",K6&lt;&gt;"not enrolled",M6="not enrolled",O6="not enrolled")),(G19/2), IF((AND(I6&lt;&gt;"not enrolled",K6="not enrolled",M6="not enrolled",O6="not enrolled")),(G19/1), 0))))</f>
        <v>0</v>
      </c>
      <c r="K19" s="6">
        <f>IF((AND(I6&lt;&gt;"not enrolled",K6&lt;&gt;"not enrolled",M6&lt;&gt;"not enrolled",O6&lt;&gt;"not enrolled")),(G19/4), IF((AND(I6&lt;&gt;"not enrolled",K6&lt;&gt;"not enrolled",M6&lt;&gt;"not enrolled",O6="not enrolled")),(G19/3), IF((AND(I6="not enrolled",K6&lt;&gt;"not enrolled",M6&lt;&gt;"not enrolled",O6&lt;&gt;"not enrolled")),(G19/3), IF((AND(I6&lt;&gt;"not enrolled",K6&lt;&gt;"not enrolled",M6="not enrolled",O6="not enrolled")),(G19/2), 0))))</f>
        <v>0</v>
      </c>
      <c r="M19" s="6">
        <f>IF((AND(I6&lt;&gt;"not enrolled",K6&lt;&gt;"not enrolled",M6&lt;&gt;"not enrolled",O6&lt;&gt;"not enrolled")),(G19/4), IF((AND(I6&lt;&gt;"not enrolled",K6&lt;&gt;"not enrolled",M6&lt;&gt;"not enrolled",O6="not enrolled")),(G19/3), IF((AND(I6="not enrolled",K6&lt;&gt;"not enrolled",M6&lt;&gt;"not enrolled",O6&lt;&gt;"not enrolled")),(G19/3), IF((AND(I6="not enrolled",K6="not enrolled",M6&lt;&gt;"not enrolled",O6&lt;&gt;"not enrolled")),(G19/2), 0))))</f>
        <v>0</v>
      </c>
      <c r="O19" s="6">
        <f>IF((AND(I6&lt;&gt;"not enrolled",K6&lt;&gt;"not enrolled",M6&lt;&gt;"not enrolled",O6&lt;&gt;"not enrolled")),(G19/4), IF((AND(I6="not enrolled",K6&lt;&gt;"not enrolled",M6&lt;&gt;"not enrolled",O6&lt;&gt;"not enrolled")),(G19/3), IF((AND(I6="not enrolled",K6="not enrolled",M6&lt;&gt;"not enrolled",O6&lt;&gt;"not enrolled")),(G19/2),  IF((AND(I6="not enrolled",K6="not enrolled",M6="not enrolled",O6&lt;&gt;"not enrolled")),(G19), 0))))</f>
        <v>0</v>
      </c>
    </row>
    <row r="20" spans="2:15" ht="21.75" customHeight="1" x14ac:dyDescent="0.25">
      <c r="B20" s="92" t="s">
        <v>44</v>
      </c>
      <c r="C20" s="92"/>
      <c r="D20" s="92"/>
      <c r="E20" s="92"/>
      <c r="F20" s="92"/>
      <c r="G20" s="34">
        <f>I20+K20+M20+O20</f>
        <v>0</v>
      </c>
      <c r="H20" s="33"/>
      <c r="I20" s="23"/>
      <c r="J20" s="33"/>
      <c r="K20" s="23"/>
      <c r="L20" s="41"/>
      <c r="M20" s="23"/>
      <c r="N20" s="41"/>
      <c r="O20" s="23"/>
    </row>
    <row r="21" spans="2:15" ht="21.75" customHeight="1" x14ac:dyDescent="0.25">
      <c r="C21" s="12" t="s">
        <v>10</v>
      </c>
      <c r="G21" s="6">
        <f>SUM(G15:G20)</f>
        <v>0</v>
      </c>
      <c r="I21" s="6">
        <f>SUM(I15:I20)</f>
        <v>0</v>
      </c>
      <c r="K21" s="6">
        <f>SUM(K15:K20)</f>
        <v>0</v>
      </c>
      <c r="M21" s="6">
        <f>SUM(M15:M20)</f>
        <v>0</v>
      </c>
      <c r="O21" s="6">
        <f>SUM(O15:O20)</f>
        <v>0</v>
      </c>
    </row>
    <row r="22" spans="2:15" ht="15.75" thickBot="1" x14ac:dyDescent="0.3"/>
    <row r="23" spans="2:15" ht="21.75" customHeight="1" thickTop="1" thickBot="1" x14ac:dyDescent="0.35">
      <c r="B23" s="19" t="s">
        <v>12</v>
      </c>
      <c r="C23" s="18"/>
      <c r="D23" s="18"/>
      <c r="E23" s="18"/>
      <c r="F23" s="18"/>
      <c r="G23" s="30" t="e">
        <f>G12-G21</f>
        <v>#N/A</v>
      </c>
      <c r="H23" s="31"/>
      <c r="I23" s="30" t="e">
        <f>I12-I21</f>
        <v>#N/A</v>
      </c>
      <c r="J23" s="31"/>
      <c r="K23" s="30" t="e">
        <f>K12-K21</f>
        <v>#N/A</v>
      </c>
      <c r="L23" s="30"/>
      <c r="M23" s="30" t="e">
        <f>M12-M21</f>
        <v>#N/A</v>
      </c>
      <c r="N23" s="30"/>
      <c r="O23" s="30" t="e">
        <f>O12-O21</f>
        <v>#N/A</v>
      </c>
    </row>
    <row r="24" spans="2:15" ht="15.75" thickTop="1" x14ac:dyDescent="0.25"/>
    <row r="25" spans="2:15" x14ac:dyDescent="0.25">
      <c r="B25" s="12" t="s">
        <v>13</v>
      </c>
    </row>
    <row r="26" spans="2:15" ht="21.75" customHeight="1" x14ac:dyDescent="0.25">
      <c r="B26" s="96" t="s">
        <v>148</v>
      </c>
      <c r="C26" s="90"/>
      <c r="D26" s="90"/>
      <c r="E26" s="90"/>
      <c r="F26" s="90"/>
      <c r="G26" s="90"/>
      <c r="H26" s="90"/>
      <c r="I26" s="90"/>
      <c r="J26" s="90"/>
      <c r="K26" s="90"/>
      <c r="L26" s="90"/>
      <c r="M26" s="90"/>
      <c r="N26" s="90"/>
      <c r="O26" s="90"/>
    </row>
    <row r="27" spans="2:15" ht="21.75" customHeight="1" x14ac:dyDescent="0.25">
      <c r="B27" s="91" t="s">
        <v>20</v>
      </c>
      <c r="C27" s="91"/>
      <c r="D27" s="91"/>
      <c r="E27" s="91"/>
      <c r="F27" s="91"/>
      <c r="G27" s="91"/>
      <c r="H27" s="91"/>
      <c r="I27" s="91"/>
      <c r="J27" s="91"/>
      <c r="K27" s="91"/>
      <c r="L27" s="91"/>
      <c r="M27" s="91"/>
      <c r="N27" s="91"/>
      <c r="O27" s="91"/>
    </row>
    <row r="28" spans="2:15" ht="21.75" customHeight="1" x14ac:dyDescent="0.25">
      <c r="B28" t="s">
        <v>25</v>
      </c>
    </row>
    <row r="29" spans="2:15" ht="51" customHeight="1" x14ac:dyDescent="0.25">
      <c r="B29" s="90" t="s">
        <v>26</v>
      </c>
      <c r="C29" s="90"/>
      <c r="D29" s="90"/>
      <c r="E29" s="90"/>
      <c r="F29" s="90"/>
      <c r="G29" s="90"/>
      <c r="H29" s="90"/>
      <c r="I29" s="90"/>
      <c r="J29" s="90"/>
      <c r="K29" s="90"/>
      <c r="L29" s="90"/>
      <c r="M29" s="90"/>
      <c r="N29" s="90"/>
      <c r="O29" s="90"/>
    </row>
    <row r="30" spans="2:15" ht="21.75" customHeight="1" x14ac:dyDescent="0.25"/>
    <row r="32" spans="2:15" x14ac:dyDescent="0.25">
      <c r="B32" s="82" t="s">
        <v>14</v>
      </c>
      <c r="C32" s="82"/>
      <c r="D32" s="82"/>
      <c r="E32" s="82"/>
      <c r="F32" s="82"/>
      <c r="G32" s="82"/>
      <c r="H32" s="82"/>
      <c r="I32" s="82"/>
      <c r="J32" s="82"/>
      <c r="K32" s="82"/>
      <c r="L32" s="82"/>
      <c r="M32" s="82"/>
      <c r="N32" s="82"/>
      <c r="O32" s="82"/>
    </row>
  </sheetData>
  <sheetProtection sheet="1" selectLockedCells="1"/>
  <mergeCells count="7">
    <mergeCell ref="B32:O32"/>
    <mergeCell ref="G2:O2"/>
    <mergeCell ref="C10:D10"/>
    <mergeCell ref="B20:F20"/>
    <mergeCell ref="B26:O26"/>
    <mergeCell ref="B27:O27"/>
    <mergeCell ref="B29:O29"/>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Data!$G$33:$G$52</xm:f>
          </x14:formula1>
          <xm:sqref>O6</xm:sqref>
        </x14:dataValidation>
        <x14:dataValidation type="list" allowBlank="1" showInputMessage="1" showErrorMessage="1">
          <x14:formula1>
            <xm:f>Data!$G$33:$G$52</xm:f>
          </x14:formula1>
          <xm:sqref>I6 K6 M6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1"/>
  <sheetViews>
    <sheetView showGridLines="0" showRowColHeaders="0" showRuler="0" zoomScaleNormal="100" workbookViewId="0">
      <selection activeCell="I5" sqref="I5"/>
    </sheetView>
  </sheetViews>
  <sheetFormatPr defaultRowHeight="15" x14ac:dyDescent="0.25"/>
  <cols>
    <col min="1" max="1" width="4.140625" customWidth="1"/>
    <col min="4" max="4" width="26" customWidth="1"/>
    <col min="5" max="5" width="11.5703125" bestFit="1" customWidth="1"/>
    <col min="7" max="7" width="13.140625" style="6" customWidth="1"/>
    <col min="9" max="9" width="13.140625" style="6" customWidth="1"/>
    <col min="11" max="11" width="13.140625" style="6" customWidth="1"/>
    <col min="12" max="12" width="4.5703125" customWidth="1"/>
  </cols>
  <sheetData>
    <row r="1" spans="2:12" ht="17.25" customHeight="1" x14ac:dyDescent="0.25"/>
    <row r="2" spans="2:12" ht="47.25" customHeight="1" x14ac:dyDescent="0.25">
      <c r="B2" s="9"/>
      <c r="C2" s="9"/>
      <c r="D2" s="9"/>
      <c r="E2" s="9"/>
      <c r="F2" s="9"/>
      <c r="G2" s="98" t="s">
        <v>136</v>
      </c>
      <c r="H2" s="99"/>
      <c r="I2" s="99"/>
      <c r="J2" s="99"/>
      <c r="K2" s="99"/>
      <c r="L2" s="99"/>
    </row>
    <row r="3" spans="2:12" ht="15" customHeight="1" x14ac:dyDescent="0.25">
      <c r="B3" s="47"/>
      <c r="C3" s="47"/>
      <c r="D3" s="47"/>
      <c r="E3" s="47"/>
      <c r="F3" s="47"/>
      <c r="G3" s="77"/>
      <c r="H3" s="78"/>
      <c r="I3" s="78"/>
      <c r="J3" s="78"/>
      <c r="K3" s="78"/>
      <c r="L3" s="78"/>
    </row>
    <row r="4" spans="2:12" ht="15" customHeight="1" x14ac:dyDescent="0.25">
      <c r="B4" s="35"/>
      <c r="C4" s="35"/>
      <c r="D4" s="35"/>
      <c r="E4" s="35"/>
      <c r="F4" s="35"/>
      <c r="G4" s="35"/>
      <c r="H4" s="35"/>
      <c r="I4" s="79" t="s">
        <v>137</v>
      </c>
      <c r="J4" s="35"/>
      <c r="K4" s="79" t="s">
        <v>139</v>
      </c>
      <c r="L4" s="35"/>
    </row>
    <row r="5" spans="2:12" ht="18" customHeight="1" x14ac:dyDescent="0.3">
      <c r="C5" s="8" t="s">
        <v>122</v>
      </c>
      <c r="D5" s="35"/>
      <c r="E5" s="35"/>
      <c r="F5" s="35"/>
      <c r="G5" s="35"/>
      <c r="H5" s="35"/>
      <c r="I5" s="80"/>
      <c r="K5" s="74"/>
      <c r="L5" s="35"/>
    </row>
    <row r="6" spans="2:12" ht="8.25" customHeight="1" x14ac:dyDescent="0.25"/>
    <row r="7" spans="2:12" ht="15.75" thickBot="1" x14ac:dyDescent="0.3">
      <c r="B7" s="1" t="s">
        <v>7</v>
      </c>
      <c r="C7" s="2"/>
      <c r="D7" s="2"/>
      <c r="E7" s="2"/>
      <c r="F7" s="2"/>
      <c r="G7" s="5" t="s">
        <v>3</v>
      </c>
      <c r="H7" s="4"/>
      <c r="I7" s="5" t="s">
        <v>93</v>
      </c>
      <c r="J7" s="4"/>
      <c r="K7" s="5" t="s">
        <v>95</v>
      </c>
      <c r="L7" s="2"/>
    </row>
    <row r="8" spans="2:12" ht="9" customHeight="1" x14ac:dyDescent="0.25"/>
    <row r="9" spans="2:12" ht="21.75" customHeight="1" x14ac:dyDescent="0.25">
      <c r="B9" s="14" t="s">
        <v>1</v>
      </c>
      <c r="C9" s="89"/>
      <c r="D9" s="89"/>
      <c r="E9" s="15"/>
      <c r="F9" s="15"/>
      <c r="G9" s="16" t="e">
        <f>I9+K9</f>
        <v>#N/A</v>
      </c>
      <c r="H9" s="15"/>
      <c r="I9" s="16" t="e">
        <f>VLOOKUP(I5,'Law Data'!A1:B18,2,FALSE)</f>
        <v>#N/A</v>
      </c>
      <c r="J9" s="15"/>
      <c r="K9" s="16" t="e">
        <f>VLOOKUP(K5,'Law Data'!A1:B18,2,FALSE)</f>
        <v>#N/A</v>
      </c>
      <c r="L9" s="15"/>
    </row>
    <row r="10" spans="2:12" ht="21.75" customHeight="1" x14ac:dyDescent="0.25">
      <c r="B10" s="57" t="s">
        <v>0</v>
      </c>
    </row>
    <row r="11" spans="2:12" ht="21.75" customHeight="1" x14ac:dyDescent="0.25">
      <c r="B11" s="17" t="s">
        <v>2</v>
      </c>
      <c r="C11" s="15"/>
      <c r="D11" s="15"/>
      <c r="E11" s="15"/>
      <c r="F11" s="15"/>
      <c r="G11" s="16" t="e">
        <f>I11+K11</f>
        <v>#N/A</v>
      </c>
      <c r="H11" s="15"/>
      <c r="I11" s="16" t="e">
        <f>VLOOKUP(I5, 'Law Data'!A1:C18,3,FALSE)</f>
        <v>#N/A</v>
      </c>
      <c r="J11" s="15"/>
      <c r="K11" s="16" t="e">
        <f>VLOOKUP(K5, 'Law Data'!A1:C18,3,FALSE)</f>
        <v>#N/A</v>
      </c>
      <c r="L11" s="15"/>
    </row>
    <row r="12" spans="2:12" ht="21.75" customHeight="1" x14ac:dyDescent="0.25">
      <c r="B12" s="56" t="s">
        <v>123</v>
      </c>
      <c r="G12" s="6" t="e">
        <f>I12+K12</f>
        <v>#N/A</v>
      </c>
      <c r="I12" s="6" t="e">
        <f>VLOOKUP(I5, 'Law Data'!A1:E18, 5, FALSE)</f>
        <v>#N/A</v>
      </c>
      <c r="K12" s="6" t="e">
        <f>VLOOKUP(K5, 'Law Data'!A1:E18, 5, FALSE)</f>
        <v>#N/A</v>
      </c>
    </row>
    <row r="13" spans="2:12" ht="21.75" customHeight="1" x14ac:dyDescent="0.25">
      <c r="B13" s="17" t="s">
        <v>124</v>
      </c>
      <c r="C13" s="15"/>
      <c r="D13" s="15"/>
      <c r="E13" s="15"/>
      <c r="F13" s="15"/>
      <c r="G13" s="16" t="e">
        <f>I13+K13</f>
        <v>#N/A</v>
      </c>
      <c r="H13" s="15"/>
      <c r="I13" s="16" t="e">
        <f>VLOOKUP(I5, 'Law Data'!A1:D18,4,FALSE)</f>
        <v>#N/A</v>
      </c>
      <c r="J13" s="15"/>
      <c r="K13" s="16" t="e">
        <f>VLOOKUP(K5, 'Law Data'!A1:D18,4,FALSE)</f>
        <v>#N/A</v>
      </c>
      <c r="L13" s="15"/>
    </row>
    <row r="14" spans="2:12" ht="21.75" customHeight="1" x14ac:dyDescent="0.25">
      <c r="B14" s="106" t="s">
        <v>154</v>
      </c>
      <c r="C14" s="106"/>
      <c r="D14" s="107"/>
      <c r="E14" s="38"/>
      <c r="G14" s="6" t="e">
        <f>I14+K14</f>
        <v>#N/A</v>
      </c>
      <c r="I14" s="6" t="e">
        <f>IF(I5="not enrolled", 0, (VLOOKUP(E14,'Law Data'!A21:C22,2,FALSE)))</f>
        <v>#N/A</v>
      </c>
      <c r="K14" s="6" t="e">
        <f>IF(K5="not enrolled", 0, (VLOOKUP(E14,'Law Data'!A21:C22,2,FALSE)))</f>
        <v>#N/A</v>
      </c>
    </row>
    <row r="15" spans="2:12" ht="21.75" customHeight="1" x14ac:dyDescent="0.25">
      <c r="B15" s="108" t="s">
        <v>153</v>
      </c>
      <c r="C15" s="108"/>
      <c r="D15" s="103"/>
      <c r="E15" s="38"/>
      <c r="F15" s="15"/>
      <c r="G15" s="16" t="e">
        <f>I15+K15</f>
        <v>#N/A</v>
      </c>
      <c r="H15" s="15"/>
      <c r="I15" s="16" t="e">
        <f>IF(I5="not enrolled",0,(VLOOKUP(E15,'Law Data'!A21:C22,3,FALSE)))</f>
        <v>#N/A</v>
      </c>
      <c r="J15" s="15"/>
      <c r="K15" s="16" t="e">
        <f>IF(K5="not enrolled",0,(VLOOKUP(E15,'Law Data'!A21:C22,3,FALSE)))</f>
        <v>#N/A</v>
      </c>
      <c r="L15" s="15"/>
    </row>
    <row r="16" spans="2:12" ht="21.75" customHeight="1" x14ac:dyDescent="0.25">
      <c r="B16" s="58" t="s">
        <v>125</v>
      </c>
      <c r="C16" s="9"/>
      <c r="D16" s="9"/>
      <c r="E16" s="101"/>
      <c r="F16" s="9"/>
      <c r="G16" s="10" t="e">
        <f>K16+I16</f>
        <v>#N/A</v>
      </c>
      <c r="H16" s="9"/>
      <c r="I16" s="10" t="e">
        <f>IF(I5="not enrolled", 0, (VLOOKUP(E16,'Law Data'!A24:B25,2,FALSE)))</f>
        <v>#N/A</v>
      </c>
      <c r="J16" s="9"/>
      <c r="K16" s="10">
        <v>0</v>
      </c>
      <c r="L16" s="9"/>
    </row>
    <row r="17" spans="2:12" ht="21.75" customHeight="1" x14ac:dyDescent="0.25">
      <c r="C17" s="12" t="s">
        <v>6</v>
      </c>
      <c r="G17" s="13" t="e">
        <f>SUM(G9,G11:G16)</f>
        <v>#N/A</v>
      </c>
      <c r="I17" s="13" t="e">
        <f>SUM(I9,I11:I16)</f>
        <v>#N/A</v>
      </c>
      <c r="K17" s="13" t="e">
        <f>SUM(K9,K11:K16)</f>
        <v>#N/A</v>
      </c>
    </row>
    <row r="18" spans="2:12" ht="44.25" customHeight="1" x14ac:dyDescent="0.25"/>
    <row r="19" spans="2:12" ht="15.75" thickBot="1" x14ac:dyDescent="0.3">
      <c r="B19" s="1" t="s">
        <v>11</v>
      </c>
      <c r="C19" s="2"/>
      <c r="D19" s="2"/>
      <c r="E19" s="2"/>
      <c r="F19" s="2"/>
      <c r="G19" s="5" t="s">
        <v>3</v>
      </c>
      <c r="H19" s="4"/>
      <c r="I19" s="5" t="s">
        <v>93</v>
      </c>
      <c r="J19" s="4"/>
      <c r="K19" s="5" t="s">
        <v>95</v>
      </c>
      <c r="L19" s="2"/>
    </row>
    <row r="20" spans="2:12" ht="21.75" customHeight="1" x14ac:dyDescent="0.25">
      <c r="B20" t="s">
        <v>126</v>
      </c>
      <c r="G20" s="20"/>
      <c r="I20" s="6">
        <f>IF((AND(I5&lt;&gt;"not enrolled", K5&lt;&gt;"not enrolled")), (G20/2), IF((AND(I5&lt;&gt;"not enrolled", K5="not enrolled")), (G20), 0))</f>
        <v>0</v>
      </c>
      <c r="K20" s="6">
        <f>IF((AND(I5&lt;&gt;"not enrolled", K5&lt;&gt;"not enrolled")), (G20/2), IF((AND(I5="not enrolled", K5&lt;&gt;"not enrolled")), (G20), 0))</f>
        <v>0</v>
      </c>
    </row>
    <row r="21" spans="2:12" ht="21.75" customHeight="1" x14ac:dyDescent="0.25">
      <c r="B21" s="15" t="s">
        <v>8</v>
      </c>
      <c r="C21" s="15"/>
      <c r="D21" s="15"/>
      <c r="E21" s="15"/>
      <c r="F21" s="15"/>
      <c r="G21" s="21"/>
      <c r="H21" s="15"/>
      <c r="I21" s="16">
        <f>IF((AND(I5&lt;&gt;"not enrolled", K5&lt;&gt;"not enrolled")), (G21/2), IF((AND(I5&lt;&gt;"not enrolled", K5="not enrolled")), (G21), 0))</f>
        <v>0</v>
      </c>
      <c r="J21" s="15"/>
      <c r="K21" s="16">
        <f>IF((AND(I5&lt;&gt;"not enrolled", K5&lt;&gt;"not enrolled")), (G21/2), IF((AND(I5="not enrolled", K5&lt;&gt;"not enrolled")), (G21), 0))</f>
        <v>0</v>
      </c>
      <c r="L21" s="15"/>
    </row>
    <row r="22" spans="2:12" ht="21.75" customHeight="1" x14ac:dyDescent="0.25">
      <c r="B22" t="s">
        <v>127</v>
      </c>
      <c r="E22" s="22"/>
      <c r="G22" s="6">
        <f>E22-(E22*0.01062)</f>
        <v>0</v>
      </c>
      <c r="I22" s="6">
        <f>IF((AND(I5&lt;&gt;"not enrolled", K5&lt;&gt;"not enrolled")), (G22/2), IF((AND(I5&lt;&gt;"not enrolled", K5="not enrolled")), (G22), 0))</f>
        <v>0</v>
      </c>
      <c r="K22" s="6">
        <f>IF((AND(I5&lt;&gt;"not enrolled", K5&lt;&gt;"not enrolled")), (G22/2), IF((AND(I5="not enrolled", K5&lt;&gt;"not enrolled")), (G22), 0))</f>
        <v>0</v>
      </c>
    </row>
    <row r="23" spans="2:12" ht="21.75" customHeight="1" x14ac:dyDescent="0.25">
      <c r="B23" s="15" t="s">
        <v>128</v>
      </c>
      <c r="C23" s="15"/>
      <c r="D23" s="15"/>
      <c r="E23" s="22"/>
      <c r="F23" s="15"/>
      <c r="G23" s="16">
        <f>E23-(E23*0.04248)</f>
        <v>0</v>
      </c>
      <c r="H23" s="15"/>
      <c r="I23" s="16">
        <f>IF((AND(I5&lt;&gt;"not enrolled", K5&lt;&gt;"not enrolled")), (G23/2), IF((AND(I5&lt;&gt;"not enrolled", K5="not enrolled")), (G23), 0))</f>
        <v>0</v>
      </c>
      <c r="J23" s="15"/>
      <c r="K23" s="16">
        <f>IF((AND(I5&lt;&gt;"not enrolled", K5&lt;&gt;"not enrolled")), (G23/2), IF((AND(I5="not enrolled", K5&lt;&gt;"not enrolled")), (G23), 0))</f>
        <v>0</v>
      </c>
      <c r="L23" s="15"/>
    </row>
    <row r="24" spans="2:12" ht="21.75" customHeight="1" x14ac:dyDescent="0.25">
      <c r="B24" t="s">
        <v>9</v>
      </c>
      <c r="G24" s="21"/>
      <c r="I24" s="6">
        <f>IF((AND(I5&lt;&gt;"not enrolled", K5&lt;&gt;"not enrolled")), (G24/2), IF((AND(I5&lt;&gt;"not enrolled", K5="not enrolled")), (G24), 0))</f>
        <v>0</v>
      </c>
      <c r="K24" s="6">
        <f>IF((AND(I5&lt;&gt;"not enrolled", K5&lt;&gt;"not enrolled")), (G24/2), IF((AND(I5="not enrolled", K5&lt;&gt;"not enrolled")), (G24), 0))</f>
        <v>0</v>
      </c>
    </row>
    <row r="25" spans="2:12" ht="21.75" customHeight="1" x14ac:dyDescent="0.25">
      <c r="B25" s="33" t="s">
        <v>129</v>
      </c>
      <c r="C25" s="33"/>
      <c r="D25" s="33"/>
      <c r="E25" s="33"/>
      <c r="F25" s="33"/>
      <c r="G25" s="34"/>
      <c r="H25" s="33"/>
      <c r="I25" s="23"/>
      <c r="J25" s="33"/>
      <c r="K25" s="23"/>
      <c r="L25" s="33"/>
    </row>
    <row r="26" spans="2:12" ht="21.75" customHeight="1" x14ac:dyDescent="0.25">
      <c r="C26" s="12" t="s">
        <v>10</v>
      </c>
      <c r="G26" s="6">
        <f>SUM(G20:G25)</f>
        <v>0</v>
      </c>
      <c r="I26" s="6">
        <f>SUM(I20:I25)</f>
        <v>0</v>
      </c>
      <c r="K26" s="6">
        <f>SUM(K20:K25)</f>
        <v>0</v>
      </c>
    </row>
    <row r="27" spans="2:12" ht="15.75" thickBot="1" x14ac:dyDescent="0.3"/>
    <row r="28" spans="2:12" ht="21.75" customHeight="1" thickTop="1" thickBot="1" x14ac:dyDescent="0.35">
      <c r="B28" s="19" t="s">
        <v>12</v>
      </c>
      <c r="C28" s="18"/>
      <c r="D28" s="18"/>
      <c r="E28" s="18"/>
      <c r="F28" s="18"/>
      <c r="G28" s="30" t="e">
        <f>I28+K28</f>
        <v>#N/A</v>
      </c>
      <c r="H28" s="31"/>
      <c r="I28" s="30" t="e">
        <f>I17-I26</f>
        <v>#N/A</v>
      </c>
      <c r="J28" s="31"/>
      <c r="K28" s="30" t="e">
        <f>K17-K26</f>
        <v>#N/A</v>
      </c>
      <c r="L28" s="18"/>
    </row>
    <row r="29" spans="2:12" ht="15.75" thickTop="1" x14ac:dyDescent="0.25"/>
    <row r="30" spans="2:12" ht="24.75" customHeight="1" x14ac:dyDescent="0.25"/>
    <row r="31" spans="2:12" x14ac:dyDescent="0.25">
      <c r="B31" s="12" t="s">
        <v>13</v>
      </c>
    </row>
    <row r="32" spans="2:12" ht="21.75" customHeight="1" x14ac:dyDescent="0.25">
      <c r="B32" s="91" t="s">
        <v>130</v>
      </c>
      <c r="C32" s="91"/>
      <c r="D32" s="91"/>
      <c r="E32" s="91"/>
      <c r="F32" s="91"/>
      <c r="G32" s="91"/>
      <c r="H32" s="91"/>
      <c r="I32" s="91"/>
      <c r="J32" s="91"/>
      <c r="K32" s="91"/>
      <c r="L32" s="91"/>
    </row>
    <row r="33" spans="2:12" ht="21.75" customHeight="1" x14ac:dyDescent="0.25">
      <c r="B33" s="91" t="s">
        <v>131</v>
      </c>
      <c r="C33" s="91"/>
      <c r="D33" s="91"/>
      <c r="E33" s="91"/>
      <c r="F33" s="91"/>
      <c r="G33" s="91"/>
      <c r="H33" s="91"/>
      <c r="I33" s="91"/>
      <c r="J33" s="91"/>
      <c r="K33" s="91"/>
      <c r="L33" s="91"/>
    </row>
    <row r="34" spans="2:12" ht="21.75" customHeight="1" x14ac:dyDescent="0.25">
      <c r="B34" t="s">
        <v>132</v>
      </c>
    </row>
    <row r="35" spans="2:12" ht="21.75" customHeight="1" x14ac:dyDescent="0.25">
      <c r="B35" t="s">
        <v>133</v>
      </c>
    </row>
    <row r="36" spans="2:12" ht="21.75" customHeight="1" x14ac:dyDescent="0.25">
      <c r="B36" t="s">
        <v>134</v>
      </c>
    </row>
    <row r="37" spans="2:12" ht="21.75" customHeight="1" x14ac:dyDescent="0.25"/>
    <row r="41" spans="2:12" x14ac:dyDescent="0.25">
      <c r="B41" s="82" t="s">
        <v>14</v>
      </c>
      <c r="C41" s="82"/>
      <c r="D41" s="82"/>
      <c r="E41" s="82"/>
      <c r="F41" s="82"/>
      <c r="G41" s="82"/>
      <c r="H41" s="82"/>
      <c r="I41" s="82"/>
      <c r="J41" s="82"/>
      <c r="K41" s="82"/>
      <c r="L41" s="82"/>
    </row>
  </sheetData>
  <sheetProtection sheet="1" selectLockedCells="1"/>
  <mergeCells count="7">
    <mergeCell ref="B41:L41"/>
    <mergeCell ref="G2:L2"/>
    <mergeCell ref="C9:D9"/>
    <mergeCell ref="B32:L32"/>
    <mergeCell ref="B33:L33"/>
    <mergeCell ref="B14:D14"/>
    <mergeCell ref="B15:D15"/>
  </mergeCells>
  <hyperlinks>
    <hyperlink ref="B14" r:id="rId1"/>
    <hyperlink ref="B15" r:id="rId2"/>
  </hyperlinks>
  <printOptions verticalCentered="1"/>
  <pageMargins left="0.5" right="0.5" top="0.5" bottom="0.5" header="0.3" footer="0.3"/>
  <pageSetup scale="81" orientation="portrait"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'Law Data'!$A$24:$A$25</xm:f>
          </x14:formula1>
          <xm:sqref>E16</xm:sqref>
        </x14:dataValidation>
        <x14:dataValidation type="list" allowBlank="1" showInputMessage="1" showErrorMessage="1">
          <x14:formula1>
            <xm:f>'Law Data'!$A$21:$A$22</xm:f>
          </x14:formula1>
          <xm:sqref>E14:E15</xm:sqref>
        </x14:dataValidation>
        <x14:dataValidation type="list" showInputMessage="1" showErrorMessage="1">
          <x14:formula1>
            <xm:f>'Law Data'!A1:A18</xm:f>
          </x14:formula1>
          <xm:sqref>I5</xm:sqref>
        </x14:dataValidation>
        <x14:dataValidation type="list" showInputMessage="1" showErrorMessage="1">
          <x14:formula1>
            <xm:f>'Law Data'!A1:A18</xm:f>
          </x14:formula1>
          <xm:sqref>K5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showRowColHeaders="0" showRuler="0" zoomScaleNormal="100" workbookViewId="0">
      <selection activeCell="I6" sqref="I6"/>
    </sheetView>
  </sheetViews>
  <sheetFormatPr defaultRowHeight="15" x14ac:dyDescent="0.25"/>
  <cols>
    <col min="1" max="1" width="4.140625" customWidth="1"/>
    <col min="4" max="4" width="25.85546875" customWidth="1"/>
    <col min="5" max="5" width="11.5703125" bestFit="1" customWidth="1"/>
    <col min="7" max="7" width="13.140625" style="6" customWidth="1"/>
    <col min="8" max="8" width="4.7109375" customWidth="1"/>
    <col min="9" max="9" width="13.5703125" style="6" customWidth="1"/>
    <col min="10" max="10" width="4.7109375" customWidth="1"/>
    <col min="11" max="11" width="13.5703125" style="6" customWidth="1"/>
    <col min="12" max="12" width="4.7109375" style="6" customWidth="1"/>
    <col min="13" max="13" width="13.5703125" style="6" customWidth="1"/>
    <col min="14" max="14" width="3.5703125" customWidth="1"/>
  </cols>
  <sheetData>
    <row r="1" spans="2:14" ht="17.25" customHeight="1" x14ac:dyDescent="0.25"/>
    <row r="2" spans="2:14" ht="47.25" customHeight="1" x14ac:dyDescent="0.25">
      <c r="G2" s="87" t="s">
        <v>28</v>
      </c>
      <c r="H2" s="88"/>
      <c r="I2" s="88"/>
      <c r="J2" s="88"/>
      <c r="K2" s="88"/>
      <c r="L2" s="88"/>
      <c r="M2" s="88"/>
      <c r="N2" s="88"/>
    </row>
    <row r="3" spans="2:14" ht="8.25" customHeight="1" x14ac:dyDescent="0.25">
      <c r="B3" s="24"/>
      <c r="C3" s="24"/>
      <c r="D3" s="24"/>
      <c r="E3" s="24"/>
      <c r="F3" s="24"/>
      <c r="G3" s="25"/>
      <c r="H3" s="26"/>
      <c r="I3" s="26"/>
      <c r="J3" s="26"/>
      <c r="K3" s="26"/>
      <c r="L3" s="26"/>
      <c r="M3" s="26"/>
      <c r="N3" s="26"/>
    </row>
    <row r="4" spans="2:14" ht="6.75" customHeight="1" x14ac:dyDescent="0.25">
      <c r="B4" s="86"/>
      <c r="C4" s="86"/>
      <c r="D4" s="86"/>
      <c r="E4" s="86"/>
      <c r="F4" s="86"/>
      <c r="G4" s="86"/>
      <c r="H4" s="86"/>
      <c r="I4" s="86"/>
      <c r="J4" s="86"/>
      <c r="K4" s="86"/>
      <c r="L4" s="86"/>
      <c r="M4" s="86"/>
      <c r="N4" s="86"/>
    </row>
    <row r="5" spans="2:14" ht="19.5" customHeight="1" x14ac:dyDescent="0.25">
      <c r="I5" s="75" t="s">
        <v>137</v>
      </c>
      <c r="K5" s="75" t="s">
        <v>138</v>
      </c>
      <c r="M5" s="75" t="s">
        <v>139</v>
      </c>
    </row>
    <row r="6" spans="2:14" ht="18" customHeight="1" x14ac:dyDescent="0.3">
      <c r="C6" s="8" t="s">
        <v>15</v>
      </c>
      <c r="D6" s="35"/>
      <c r="E6" s="35"/>
      <c r="F6" s="35"/>
      <c r="G6" s="35"/>
      <c r="H6" s="35"/>
      <c r="I6" s="74"/>
      <c r="K6" s="74"/>
      <c r="L6" s="27"/>
      <c r="M6" s="74"/>
      <c r="N6" s="35"/>
    </row>
    <row r="7" spans="2:14" ht="6" customHeight="1" x14ac:dyDescent="0.25"/>
    <row r="8" spans="2:14" ht="15.75" thickBot="1" x14ac:dyDescent="0.3">
      <c r="B8" s="1" t="s">
        <v>7</v>
      </c>
      <c r="C8" s="2"/>
      <c r="D8" s="2"/>
      <c r="E8" s="2"/>
      <c r="F8" s="2"/>
      <c r="G8" s="5" t="s">
        <v>3</v>
      </c>
      <c r="H8" s="4"/>
      <c r="I8" s="5" t="s">
        <v>93</v>
      </c>
      <c r="J8" s="4"/>
      <c r="K8" s="5" t="s">
        <v>94</v>
      </c>
      <c r="L8" s="5"/>
      <c r="M8" s="5" t="s">
        <v>95</v>
      </c>
      <c r="N8" s="2"/>
    </row>
    <row r="9" spans="2:14" ht="9" customHeight="1" x14ac:dyDescent="0.25"/>
    <row r="10" spans="2:14" ht="21.75" customHeight="1" x14ac:dyDescent="0.25">
      <c r="B10" s="14" t="s">
        <v>1</v>
      </c>
      <c r="C10" s="89"/>
      <c r="D10" s="89"/>
      <c r="E10" s="15"/>
      <c r="F10" s="15"/>
      <c r="G10" s="16" t="e">
        <f>I10+K10+M10</f>
        <v>#N/A</v>
      </c>
      <c r="H10" s="15"/>
      <c r="I10" s="16" t="e">
        <f>VLOOKUP(I6, Data!F2:G21, 2, FALSE)</f>
        <v>#N/A</v>
      </c>
      <c r="J10" s="15"/>
      <c r="K10" s="16" t="e">
        <f>VLOOKUP(K6, Data!F2:G21, 2, FALSE)</f>
        <v>#N/A</v>
      </c>
      <c r="L10" s="16"/>
      <c r="M10" s="16" t="e">
        <f>VLOOKUP(M6, Data!F2:G21, 2, FALSE)</f>
        <v>#N/A</v>
      </c>
      <c r="N10" s="15"/>
    </row>
    <row r="11" spans="2:14" ht="21.75" customHeight="1" x14ac:dyDescent="0.25">
      <c r="B11" s="73" t="s">
        <v>0</v>
      </c>
    </row>
    <row r="12" spans="2:14" ht="21.75" customHeight="1" x14ac:dyDescent="0.25">
      <c r="B12" s="17" t="s">
        <v>2</v>
      </c>
      <c r="C12" s="15"/>
      <c r="D12" s="15"/>
      <c r="E12" s="15"/>
      <c r="F12" s="15"/>
      <c r="G12" s="16" t="e">
        <f>I12+K12+M12</f>
        <v>#N/A</v>
      </c>
      <c r="H12" s="15"/>
      <c r="I12" s="16" t="e">
        <f>VLOOKUP(I6, Data!F2:H21, 3, FALSE)</f>
        <v>#N/A</v>
      </c>
      <c r="J12" s="15"/>
      <c r="K12" s="16" t="e">
        <f>VLOOKUP(K6, Data!F2:H21, 3, FALSE)</f>
        <v>#N/A</v>
      </c>
      <c r="L12" s="16"/>
      <c r="M12" s="16" t="e">
        <f>VLOOKUP(M6, Data!F2:H21, 3, FALSE)</f>
        <v>#N/A</v>
      </c>
      <c r="N12" s="15"/>
    </row>
    <row r="13" spans="2:14" ht="21.75" customHeight="1" x14ac:dyDescent="0.25">
      <c r="B13" s="56" t="s">
        <v>19</v>
      </c>
      <c r="G13" s="6" t="e">
        <f>I13+K13+M13</f>
        <v>#N/A</v>
      </c>
      <c r="I13" s="6" t="e">
        <f>VLOOKUP(I6, Data!F2:I21, 4, FALSE)</f>
        <v>#N/A</v>
      </c>
      <c r="K13" s="6" t="e">
        <f>VLOOKUP(K6, Data!F2:I21, 4, FALSE)</f>
        <v>#N/A</v>
      </c>
      <c r="M13" s="6" t="e">
        <f>VLOOKUP(M6, Data!F2:I21, 4, FALSE)</f>
        <v>#N/A</v>
      </c>
    </row>
    <row r="14" spans="2:14" ht="21.75" customHeight="1" x14ac:dyDescent="0.25">
      <c r="B14" s="102" t="s">
        <v>154</v>
      </c>
      <c r="C14" s="102"/>
      <c r="D14" s="103"/>
      <c r="E14" s="38"/>
      <c r="F14" s="36"/>
      <c r="G14" s="37">
        <f>I14+K14+M14</f>
        <v>0</v>
      </c>
      <c r="H14" s="36"/>
      <c r="I14" s="37">
        <f>IF(AND(E14="Yes", I6&lt;&gt;"not enrolled"), (VLOOKUP(E14, Data!A24:C25, 2, FALSE)), 0)</f>
        <v>0</v>
      </c>
      <c r="J14" s="36"/>
      <c r="K14" s="37">
        <v>0</v>
      </c>
      <c r="L14" s="37"/>
      <c r="M14" s="37">
        <f>IF(AND(E14="Yes", M6&lt;&gt;"not enrolled"), (VLOOKUP(E14, Data!A24:C25, 2, FALSE)), 0)</f>
        <v>0</v>
      </c>
      <c r="N14" s="36"/>
    </row>
    <row r="15" spans="2:14" s="32" customFormat="1" ht="21.75" customHeight="1" x14ac:dyDescent="0.25">
      <c r="B15" s="104" t="s">
        <v>153</v>
      </c>
      <c r="C15" s="104"/>
      <c r="D15" s="105"/>
      <c r="E15" s="101"/>
      <c r="F15" s="39"/>
      <c r="G15" s="40">
        <f>I15+K15+M15</f>
        <v>0</v>
      </c>
      <c r="H15" s="39"/>
      <c r="I15" s="40">
        <f>IF(AND(E15="Yes", I6&lt;&gt;"not enrolled"), (VLOOKUP(E15, Data!A24:C25, 3, FALSE)), 0)</f>
        <v>0</v>
      </c>
      <c r="J15" s="39"/>
      <c r="K15" s="40">
        <f>IF(AND(E15="Yes", K6&lt;&gt;"not enrolled"), (VLOOKUP(E15, Data!A24:C25, 3, FALSE)), 0)</f>
        <v>0</v>
      </c>
      <c r="L15" s="40"/>
      <c r="M15" s="40">
        <f>IF(AND(E15="Yes", M6&lt;&gt;"not enrolled"), (VLOOKUP(E15, Data!A24:C25, 3, FALSE)), 0)</f>
        <v>0</v>
      </c>
      <c r="N15" s="39"/>
    </row>
    <row r="16" spans="2:14" ht="21.75" customHeight="1" x14ac:dyDescent="0.25">
      <c r="C16" s="12" t="s">
        <v>6</v>
      </c>
      <c r="G16" s="13" t="e">
        <f>SUM(G10, G12:G15)</f>
        <v>#N/A</v>
      </c>
      <c r="I16" s="13" t="e">
        <f>SUM(I10,I12:I15)</f>
        <v>#N/A</v>
      </c>
      <c r="K16" s="13" t="e">
        <f>SUM(K10,K12:K15)</f>
        <v>#N/A</v>
      </c>
      <c r="L16" s="13"/>
      <c r="M16" s="13" t="e">
        <f>SUM(M10,M12:M15)</f>
        <v>#N/A</v>
      </c>
    </row>
    <row r="17" spans="2:14" ht="24" customHeight="1" x14ac:dyDescent="0.25"/>
    <row r="18" spans="2:14" ht="15.75" thickBot="1" x14ac:dyDescent="0.3">
      <c r="B18" s="1" t="s">
        <v>11</v>
      </c>
      <c r="C18" s="2"/>
      <c r="D18" s="2"/>
      <c r="E18" s="2"/>
      <c r="F18" s="2"/>
      <c r="G18" s="5" t="s">
        <v>3</v>
      </c>
      <c r="H18" s="4"/>
      <c r="I18" s="5" t="s">
        <v>93</v>
      </c>
      <c r="J18" s="4"/>
      <c r="K18" s="5" t="s">
        <v>94</v>
      </c>
      <c r="L18" s="5"/>
      <c r="M18" s="5" t="s">
        <v>95</v>
      </c>
      <c r="N18" s="2"/>
    </row>
    <row r="19" spans="2:14" ht="21.75" customHeight="1" x14ac:dyDescent="0.25">
      <c r="B19" t="s">
        <v>16</v>
      </c>
      <c r="G19" s="20"/>
      <c r="I19" s="6">
        <f>IF((AND(I6&lt;&gt;"not enrolled", K6&lt;&gt;"not enrolled", M6&lt;&gt;"not enrolled")), (G19/3), IF((AND(I6&lt;&gt;"not enrolled", K6&lt;&gt;"not enrolled", M6="not enrolled")), (G19/2), IF((AND(I6&lt;&gt;"not enrolled", K6="not enrolled", M6="not enrolled")), (G19/1), 0)))</f>
        <v>0</v>
      </c>
      <c r="K19" s="6">
        <f>IF((AND(I6&lt;&gt;"not enrolled", K6&lt;&gt;"not enrolled", M6&lt;&gt;"not enrolled")), (G19/3), IF((AND(I6&lt;&gt;"not enrolled", K6&lt;&gt;"not enrolled", M6="not enrolled")), (G19/2), IF((AND(I6="not enrolled", K6&lt;&gt;"not enrolled", M6&lt;&gt;"not enrolled")), (G19/2), 0)))</f>
        <v>0</v>
      </c>
      <c r="M19" s="6">
        <f>IF((AND(I6&lt;&gt;"not enrolled", K6&lt;&gt;"not enrolled", M6&lt;&gt;"not enrolled")), (G19/3), IF((AND(I6="not enrolled", K6&lt;&gt;"not enrolled", M6&lt;&gt;"not enrolled")), (G19/2), IF((AND(I6="not enrolled", K6="not enrolled", M6&lt;&gt;"not enrolled")), (G19), 0)))</f>
        <v>0</v>
      </c>
    </row>
    <row r="20" spans="2:14" ht="21.75" customHeight="1" x14ac:dyDescent="0.25">
      <c r="B20" s="15" t="s">
        <v>8</v>
      </c>
      <c r="C20" s="15"/>
      <c r="D20" s="15"/>
      <c r="E20" s="15"/>
      <c r="F20" s="15"/>
      <c r="G20" s="21"/>
      <c r="H20" s="15"/>
      <c r="I20" s="16">
        <f>IF((AND(I6&lt;&gt;"not enrolled", K6&lt;&gt;"not enrolled", M6&lt;&gt;"not enrolled")), (G20/3), IF((AND(I6&lt;&gt;"not enrolled", K6&lt;&gt;"not enrolled", M6="not enrolled")), (G20/2), IF((AND(I6&lt;&gt;"not enrolled", K6="not enrolled", M6="not enrolled")), (G20/1), 0)))</f>
        <v>0</v>
      </c>
      <c r="J20" s="15"/>
      <c r="K20" s="16">
        <f>IF((AND(I6&lt;&gt;"not enrolled", K6&lt;&gt;"not enrolled", M6&lt;&gt;"not enrolled")), (G20/3), IF((AND(I6&lt;&gt;"not enrolled", K6&lt;&gt;"not enrolled", M6="not enrolled")), (G20/2), IF((AND(I6="not enrolled", K6&lt;&gt;"not enrolled", M6&lt;&gt;"not enrolled")), (G20/2), 0)))</f>
        <v>0</v>
      </c>
      <c r="L20" s="16"/>
      <c r="M20" s="16">
        <f>IF((AND(I6&lt;&gt;"not enrolled", K6&lt;&gt;"not enrolled", M6&lt;&gt;"not enrolled")), (G20/3), IF((AND(I6="not enrolled", K6&lt;&gt;"not enrolled", M6&lt;&gt;"not enrolled")), (G20/2), IF((AND(I6="not enrolled", K6="not enrolled", M6&lt;&gt;"not enrolled")), (G20), 0)))</f>
        <v>0</v>
      </c>
      <c r="N20" s="15"/>
    </row>
    <row r="21" spans="2:14" ht="21.75" customHeight="1" x14ac:dyDescent="0.25">
      <c r="B21" t="s">
        <v>21</v>
      </c>
      <c r="E21" s="22"/>
      <c r="G21" s="6">
        <f>E21-(E21*0.01062)</f>
        <v>0</v>
      </c>
      <c r="I21" s="6">
        <f>IF((AND(I6&lt;&gt;"not enrolled", K6&lt;&gt;"not enrolled", M6&lt;&gt;"not enrolled")), (G21/3), IF((AND(I6&lt;&gt;"not enrolled", K6&lt;&gt;"not enrolled", M6="not enrolled")), (G21/2), IF((AND(I6&lt;&gt;"not enrolled", K6="not enrolled", M6="not enrolled")), (G21/1), 0)))</f>
        <v>0</v>
      </c>
      <c r="K21" s="6">
        <f>IF((AND(I6&lt;&gt;"not enrolled", K6&lt;&gt;"not enrolled", M6&lt;&gt;"not enrolled")), (G21/3), IF((AND(I6&lt;&gt;"not enrolled", K6&lt;&gt;"not enrolled", M6="not enrolled")), (G21/2), IF((AND(I6="not enrolled", K6&lt;&gt;"not enrolled", M6&lt;&gt;"not enrolled")), (G21/2), 0)))</f>
        <v>0</v>
      </c>
      <c r="M21" s="6">
        <f>IF((AND(I6&lt;&gt;"not enrolled", K6&lt;&gt;"not enrolled", M6&lt;&gt;"not enrolled")), (G21/3), IF((AND(I6="not enrolled", K6&lt;&gt;"not enrolled", M6&lt;&gt;"not enrolled")), (G21/2), IF((AND(I6="not enrolled", K6="not enrolled", M6&lt;&gt;"not enrolled")), (G21), 0)))</f>
        <v>0</v>
      </c>
    </row>
    <row r="22" spans="2:14" ht="21.75" customHeight="1" x14ac:dyDescent="0.25">
      <c r="B22" s="15" t="s">
        <v>22</v>
      </c>
      <c r="C22" s="15"/>
      <c r="D22" s="15"/>
      <c r="E22" s="22"/>
      <c r="F22" s="15"/>
      <c r="G22" s="16">
        <f>E22-(E22*0.04248)</f>
        <v>0</v>
      </c>
      <c r="H22" s="15"/>
      <c r="I22" s="16">
        <f>IF((AND(I6&lt;&gt;"not enrolled", K6&lt;&gt;"not enrolled", M6&lt;&gt;"not enrolled")), (G22/3), IF((AND(I6&lt;&gt;"not enrolled", K6&lt;&gt;"not enrolled", M6="not enrolled")), (G22/2), IF((AND(I6&lt;&gt;"not enrolled", K6="not enrolled", M6="not enrolled")), (G22/1), 0)))</f>
        <v>0</v>
      </c>
      <c r="J22" s="15"/>
      <c r="K22" s="16">
        <f>IF((AND(I6&lt;&gt;"not enrolled", K6&lt;&gt;"not enrolled", M6&lt;&gt;"not enrolled")), (G22/3), IF((AND(I6&lt;&gt;"not enrolled", K6&lt;&gt;"not enrolled", M6="not enrolled")), (G22/2), IF((AND(I6="not enrolled", K6&lt;&gt;"not enrolled", M6&lt;&gt;"not enrolled")), (G22/2), 0)))</f>
        <v>0</v>
      </c>
      <c r="L22" s="16"/>
      <c r="M22" s="16">
        <f>IF((AND(I6&lt;&gt;"not enrolled", K6&lt;&gt;"not enrolled", M6&lt;&gt;"not enrolled")), (G22/3), IF((AND(I6="not enrolled", K6&lt;&gt;"not enrolled", M6&lt;&gt;"not enrolled")), (G22/2), IF((AND(I6="not enrolled", K6="not enrolled", M6&lt;&gt;"not enrolled")), (G22), 0)))</f>
        <v>0</v>
      </c>
      <c r="N22" s="15"/>
    </row>
    <row r="23" spans="2:14" ht="21.75" customHeight="1" x14ac:dyDescent="0.25">
      <c r="B23" s="91" t="s">
        <v>43</v>
      </c>
      <c r="C23" s="91"/>
      <c r="D23" s="91"/>
      <c r="E23" s="91"/>
      <c r="G23" s="21"/>
      <c r="I23" s="6">
        <f>IF((AND(I6&lt;&gt;"not enrolled", K6&lt;&gt;"not enrolled", M6&lt;&gt;"not enrolled")), (G23/3), IF((AND(I6&lt;&gt;"not enrolled", K6&lt;&gt;"not enrolled", M6="not enrolled")), (G23/2), IF((AND(I6&lt;&gt;"not enrolled", K6="not enrolled", M6="not enrolled")), (G23/1), 0)))</f>
        <v>0</v>
      </c>
      <c r="K23" s="6">
        <f>IF((AND(I6&lt;&gt;"not enrolled", K6&lt;&gt;"not enrolled", M6&lt;&gt;"not enrolled")), (G23/3), IF((AND(I6&lt;&gt;"not enrolled", K6&lt;&gt;"not enrolled", M6="not enrolled")), (G23/2), IF((AND(I6="not enrolled", K6&lt;&gt;"not enrolled", M6&lt;&gt;"not enrolled")), (G23/2), 0)))</f>
        <v>0</v>
      </c>
      <c r="M23" s="6">
        <f>IF((AND(I6&lt;&gt;"not enrolled", K6&lt;&gt;"not enrolled", M6&lt;&gt;"not enrolled")), (G23/3), IF((AND(I6="not enrolled", K6&lt;&gt;"not enrolled", M6&lt;&gt;"not enrolled")), (G23/2), IF((AND(I6="not enrolled", K6="not enrolled", M6&lt;&gt;"not enrolled")), (G23), 0)))</f>
        <v>0</v>
      </c>
    </row>
    <row r="24" spans="2:14" ht="21.75" customHeight="1" x14ac:dyDescent="0.25">
      <c r="B24" s="92" t="s">
        <v>44</v>
      </c>
      <c r="C24" s="92"/>
      <c r="D24" s="92"/>
      <c r="E24" s="92"/>
      <c r="F24" s="92"/>
      <c r="G24" s="34">
        <f>I24+K24+M24</f>
        <v>0</v>
      </c>
      <c r="H24" s="33"/>
      <c r="I24" s="23"/>
      <c r="J24" s="33"/>
      <c r="K24" s="23"/>
      <c r="L24" s="41"/>
      <c r="M24" s="29"/>
      <c r="N24" s="33"/>
    </row>
    <row r="25" spans="2:14" ht="21.75" customHeight="1" x14ac:dyDescent="0.25">
      <c r="C25" s="12" t="s">
        <v>10</v>
      </c>
      <c r="G25" s="6">
        <f>SUM(G19:G24)</f>
        <v>0</v>
      </c>
      <c r="I25" s="6">
        <f>SUM(I19:I24)</f>
        <v>0</v>
      </c>
      <c r="K25" s="6">
        <f>SUM(K19:K23,K24)</f>
        <v>0</v>
      </c>
      <c r="M25" s="6">
        <f>SUM(M19:M23,M24)</f>
        <v>0</v>
      </c>
    </row>
    <row r="26" spans="2:14" ht="15.75" thickBot="1" x14ac:dyDescent="0.3"/>
    <row r="27" spans="2:14" ht="21.75" customHeight="1" thickTop="1" thickBot="1" x14ac:dyDescent="0.35">
      <c r="B27" s="19" t="s">
        <v>12</v>
      </c>
      <c r="C27" s="18"/>
      <c r="D27" s="18"/>
      <c r="E27" s="18"/>
      <c r="F27" s="18"/>
      <c r="G27" s="30" t="e">
        <f>G16-G25</f>
        <v>#N/A</v>
      </c>
      <c r="H27" s="31"/>
      <c r="I27" s="30" t="e">
        <f>I16-I25</f>
        <v>#N/A</v>
      </c>
      <c r="J27" s="31"/>
      <c r="K27" s="30" t="e">
        <f>K16-K25</f>
        <v>#N/A</v>
      </c>
      <c r="L27" s="30"/>
      <c r="M27" s="30" t="e">
        <f>M16-M25</f>
        <v>#N/A</v>
      </c>
      <c r="N27" s="18"/>
    </row>
    <row r="28" spans="2:14" ht="15.75" thickTop="1" x14ac:dyDescent="0.25"/>
    <row r="29" spans="2:14" x14ac:dyDescent="0.25">
      <c r="B29" s="12" t="s">
        <v>13</v>
      </c>
    </row>
    <row r="30" spans="2:14" ht="21.75" customHeight="1" x14ac:dyDescent="0.25">
      <c r="B30" s="90" t="s">
        <v>29</v>
      </c>
      <c r="C30" s="90"/>
      <c r="D30" s="90"/>
      <c r="E30" s="90"/>
      <c r="F30" s="90"/>
      <c r="G30" s="90"/>
      <c r="H30" s="90"/>
      <c r="I30" s="90"/>
      <c r="J30" s="90"/>
      <c r="K30" s="90"/>
      <c r="L30" s="90"/>
      <c r="M30" s="90"/>
      <c r="N30" s="90"/>
    </row>
    <row r="31" spans="2:14" ht="21.75" customHeight="1" x14ac:dyDescent="0.25">
      <c r="B31" s="91" t="s">
        <v>20</v>
      </c>
      <c r="C31" s="91"/>
      <c r="D31" s="91"/>
      <c r="E31" s="91"/>
      <c r="F31" s="91"/>
      <c r="G31" s="91"/>
      <c r="H31" s="91"/>
      <c r="I31" s="91"/>
      <c r="J31" s="91"/>
      <c r="K31" s="91"/>
      <c r="L31" s="91"/>
      <c r="M31" s="91"/>
      <c r="N31" s="91"/>
    </row>
    <row r="32" spans="2:14" ht="21.75" customHeight="1" x14ac:dyDescent="0.25">
      <c r="B32" t="s">
        <v>25</v>
      </c>
    </row>
    <row r="33" spans="2:14" ht="51" customHeight="1" x14ac:dyDescent="0.25">
      <c r="B33" s="90" t="s">
        <v>26</v>
      </c>
      <c r="C33" s="90"/>
      <c r="D33" s="90"/>
      <c r="E33" s="90"/>
      <c r="F33" s="90"/>
      <c r="G33" s="90"/>
      <c r="H33" s="90"/>
      <c r="I33" s="90"/>
      <c r="J33" s="90"/>
      <c r="K33" s="90"/>
      <c r="L33" s="90"/>
      <c r="M33" s="90"/>
      <c r="N33" s="90"/>
    </row>
    <row r="34" spans="2:14" ht="21.75" customHeight="1" x14ac:dyDescent="0.25"/>
    <row r="36" spans="2:14" x14ac:dyDescent="0.25">
      <c r="B36" s="82" t="s">
        <v>14</v>
      </c>
      <c r="C36" s="82"/>
      <c r="D36" s="82"/>
      <c r="E36" s="82"/>
      <c r="F36" s="82"/>
      <c r="G36" s="82"/>
      <c r="H36" s="82"/>
      <c r="I36" s="82"/>
      <c r="J36" s="82"/>
      <c r="K36" s="82"/>
      <c r="L36" s="82"/>
      <c r="M36" s="82"/>
      <c r="N36" s="82"/>
    </row>
  </sheetData>
  <sheetProtection sheet="1" selectLockedCells="1"/>
  <mergeCells count="11">
    <mergeCell ref="B31:N31"/>
    <mergeCell ref="B33:N33"/>
    <mergeCell ref="B36:N36"/>
    <mergeCell ref="G2:N2"/>
    <mergeCell ref="B4:N4"/>
    <mergeCell ref="C10:D10"/>
    <mergeCell ref="B23:E23"/>
    <mergeCell ref="B24:F24"/>
    <mergeCell ref="B30:N30"/>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Data!$F$2:$F$21</xm:f>
          </x14:formula1>
          <xm:sqref>M6</xm:sqref>
        </x14:dataValidation>
        <x14:dataValidation type="list" allowBlank="1" showInputMessage="1" showErrorMessage="1">
          <x14:formula1>
            <xm:f>Data!$A$24:$A$25</xm:f>
          </x14:formula1>
          <xm:sqref>E14:E15</xm:sqref>
        </x14:dataValidation>
        <x14:dataValidation type="list" allowBlank="1" showInputMessage="1" showErrorMessage="1">
          <x14:formula1>
            <xm:f>Data!$F$2:$F$21</xm:f>
          </x14:formula1>
          <xm:sqref>I6 K6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2"/>
  <sheetViews>
    <sheetView showGridLines="0" showRowColHeaders="0" showRuler="0" zoomScaleNormal="100" workbookViewId="0">
      <selection activeCell="I6" sqref="I6"/>
    </sheetView>
  </sheetViews>
  <sheetFormatPr defaultRowHeight="15" x14ac:dyDescent="0.25"/>
  <cols>
    <col min="1" max="1" width="4.140625" customWidth="1"/>
    <col min="4" max="4" width="14" customWidth="1"/>
    <col min="5" max="5" width="13.85546875" customWidth="1"/>
    <col min="6" max="6" width="4.28515625" customWidth="1"/>
    <col min="7" max="7" width="15" style="6" customWidth="1"/>
    <col min="8" max="8" width="2.85546875" customWidth="1"/>
    <col min="9" max="9" width="15" style="6" customWidth="1"/>
    <col min="10" max="10" width="2.85546875" customWidth="1"/>
    <col min="11" max="11" width="15" style="6" customWidth="1"/>
    <col min="12" max="12" width="2.85546875" style="6" customWidth="1"/>
    <col min="13" max="13" width="15" style="6" customWidth="1"/>
    <col min="14" max="14" width="2.85546875" style="6" customWidth="1"/>
    <col min="15" max="15" width="15" style="6" customWidth="1"/>
  </cols>
  <sheetData>
    <row r="1" spans="2:15" ht="17.25" customHeight="1" x14ac:dyDescent="0.25"/>
    <row r="2" spans="2:15" ht="47.25" customHeight="1" x14ac:dyDescent="0.35">
      <c r="G2" s="83" t="s">
        <v>91</v>
      </c>
      <c r="H2" s="83"/>
      <c r="I2" s="83"/>
      <c r="J2" s="83"/>
      <c r="K2" s="83"/>
      <c r="L2" s="83"/>
      <c r="M2" s="83"/>
      <c r="N2" s="83"/>
      <c r="O2" s="83"/>
    </row>
    <row r="3" spans="2:15" ht="8.25" customHeight="1" x14ac:dyDescent="0.25">
      <c r="B3" s="24"/>
      <c r="C3" s="24"/>
      <c r="D3" s="24"/>
      <c r="E3" s="24"/>
      <c r="F3" s="24"/>
      <c r="G3" s="25"/>
      <c r="H3" s="26"/>
      <c r="I3" s="26"/>
      <c r="J3" s="26"/>
      <c r="K3" s="26"/>
      <c r="L3" s="26"/>
      <c r="M3" s="26"/>
      <c r="N3" s="26"/>
      <c r="O3" s="26"/>
    </row>
    <row r="4" spans="2:15" ht="9.75" customHeight="1" x14ac:dyDescent="0.25"/>
    <row r="5" spans="2:15" ht="15" customHeight="1" thickBot="1" x14ac:dyDescent="0.3">
      <c r="I5" s="44" t="s">
        <v>137</v>
      </c>
      <c r="J5" s="47"/>
      <c r="K5" s="44" t="s">
        <v>138</v>
      </c>
      <c r="L5" s="48"/>
      <c r="M5" s="44" t="s">
        <v>139</v>
      </c>
      <c r="N5" s="48"/>
      <c r="O5" s="44" t="s">
        <v>140</v>
      </c>
    </row>
    <row r="6" spans="2:15" ht="18" customHeight="1" x14ac:dyDescent="0.3">
      <c r="C6" s="8" t="s">
        <v>73</v>
      </c>
      <c r="E6" s="35"/>
      <c r="F6" s="35"/>
      <c r="G6" s="35"/>
      <c r="H6" s="35"/>
      <c r="I6" s="49"/>
      <c r="K6" s="70"/>
      <c r="L6"/>
      <c r="M6" s="71"/>
      <c r="N6"/>
      <c r="O6" s="71"/>
    </row>
    <row r="7" spans="2:15" ht="18.75" customHeight="1" x14ac:dyDescent="0.25"/>
    <row r="8" spans="2:15" ht="15.75" thickBot="1" x14ac:dyDescent="0.3">
      <c r="B8" s="1" t="s">
        <v>7</v>
      </c>
      <c r="C8" s="2"/>
      <c r="D8" s="2"/>
      <c r="E8" s="2"/>
      <c r="F8" s="2"/>
      <c r="G8" s="5" t="s">
        <v>3</v>
      </c>
      <c r="H8" s="4"/>
      <c r="I8" s="5" t="s">
        <v>93</v>
      </c>
      <c r="J8" s="4"/>
      <c r="K8" s="5" t="s">
        <v>94</v>
      </c>
      <c r="L8" s="5"/>
      <c r="M8" s="5" t="s">
        <v>95</v>
      </c>
      <c r="N8" s="5"/>
      <c r="O8" s="5" t="s">
        <v>141</v>
      </c>
    </row>
    <row r="9" spans="2:15" ht="9" customHeight="1" x14ac:dyDescent="0.25"/>
    <row r="10" spans="2:15" ht="21.75" customHeight="1" x14ac:dyDescent="0.25">
      <c r="B10" s="14" t="s">
        <v>1</v>
      </c>
      <c r="C10" s="89"/>
      <c r="D10" s="89"/>
      <c r="E10" s="15"/>
      <c r="F10" s="15"/>
      <c r="G10" s="16" t="e">
        <f>I10+K10+M10+O10</f>
        <v>#N/A</v>
      </c>
      <c r="H10" s="15"/>
      <c r="I10" s="16" t="e">
        <f>VLOOKUP(I6,Data!N2:P6,2,FALSE)</f>
        <v>#N/A</v>
      </c>
      <c r="J10" s="15"/>
      <c r="K10" s="16" t="e">
        <f>VLOOKUP(K6,Data!N2:P6,2,FALSE)</f>
        <v>#N/A</v>
      </c>
      <c r="L10" s="16"/>
      <c r="M10" s="16" t="e">
        <f>VLOOKUP(M6,Data!N2:P6,2,FALSE)</f>
        <v>#N/A</v>
      </c>
      <c r="N10" s="16"/>
      <c r="O10" s="16" t="e">
        <f>VLOOKUP(O6,Data!N2:P6,2,FALSE)</f>
        <v>#N/A</v>
      </c>
    </row>
    <row r="11" spans="2:15" ht="21.75" customHeight="1" x14ac:dyDescent="0.25">
      <c r="B11" s="50" t="s">
        <v>2</v>
      </c>
      <c r="C11" s="51"/>
      <c r="D11" s="51"/>
      <c r="E11" s="51"/>
      <c r="F11" s="51"/>
      <c r="G11" s="52" t="e">
        <f>I11+K11+M11+O11</f>
        <v>#N/A</v>
      </c>
      <c r="H11" s="51"/>
      <c r="I11" s="52" t="e">
        <f>VLOOKUP(I6,Data!N2:P6,3,FALSE)</f>
        <v>#N/A</v>
      </c>
      <c r="J11" s="51"/>
      <c r="K11" s="52" t="e">
        <f>VLOOKUP(K6,Data!N2:P6,3,FALSE)</f>
        <v>#N/A</v>
      </c>
      <c r="L11" s="52"/>
      <c r="M11" s="52" t="e">
        <f>VLOOKUP(M6,Data!N2:P6,3,FALSE)</f>
        <v>#N/A</v>
      </c>
      <c r="N11" s="52"/>
      <c r="O11" s="52" t="e">
        <f>VLOOKUP(O6,Data!N2:P6,3,FALSE)</f>
        <v>#N/A</v>
      </c>
    </row>
    <row r="12" spans="2:15" ht="21.75" customHeight="1" x14ac:dyDescent="0.25">
      <c r="B12" s="24"/>
      <c r="C12" s="59" t="s">
        <v>6</v>
      </c>
      <c r="D12" s="24"/>
      <c r="E12" s="24"/>
      <c r="F12" s="24"/>
      <c r="G12" s="60" t="e">
        <f>SUM(G10:G11)</f>
        <v>#N/A</v>
      </c>
      <c r="H12" s="24"/>
      <c r="I12" s="60" t="e">
        <f>SUM(I10:I11)</f>
        <v>#N/A</v>
      </c>
      <c r="J12" s="24"/>
      <c r="K12" s="60" t="e">
        <f>SUM(K10:K11)</f>
        <v>#N/A</v>
      </c>
      <c r="L12" s="60"/>
      <c r="M12" s="60" t="e">
        <f>SUM(M10:M11)</f>
        <v>#N/A</v>
      </c>
      <c r="N12" s="60"/>
      <c r="O12" s="60" t="e">
        <f>SUM(O10:O11)</f>
        <v>#N/A</v>
      </c>
    </row>
    <row r="13" spans="2:15" ht="24" customHeight="1" x14ac:dyDescent="0.25"/>
    <row r="14" spans="2:15" ht="15.75" thickBot="1" x14ac:dyDescent="0.3">
      <c r="B14" s="1" t="s">
        <v>11</v>
      </c>
      <c r="C14" s="2"/>
      <c r="D14" s="2"/>
      <c r="E14" s="2"/>
      <c r="F14" s="2"/>
      <c r="G14" s="5" t="s">
        <v>3</v>
      </c>
      <c r="H14" s="4"/>
      <c r="I14" s="5" t="s">
        <v>93</v>
      </c>
      <c r="J14" s="4"/>
      <c r="K14" s="5" t="s">
        <v>94</v>
      </c>
      <c r="L14" s="5"/>
      <c r="M14" s="5" t="s">
        <v>95</v>
      </c>
      <c r="N14" s="5"/>
      <c r="O14" s="5" t="s">
        <v>141</v>
      </c>
    </row>
    <row r="15" spans="2:15" ht="21.75" customHeight="1" x14ac:dyDescent="0.25">
      <c r="B15" t="s">
        <v>16</v>
      </c>
      <c r="G15" s="20"/>
      <c r="I15" s="6">
        <f>IF((AND(I6&lt;&gt;"not enrolled",K6&lt;&gt;"not enrolled",M6&lt;&gt;"not enrolled",O6&lt;&gt;"not enrolled")),(G15/4), IF((AND(I6&lt;&gt;"not enrolled",K6&lt;&gt;"not enrolled",M6&lt;&gt;"not enrolled",O6="not enrolled")),(G15/3), IF((AND(I6&lt;&gt;"not enrolled",K6&lt;&gt;"not enrolled",M6="not enrolled",O6="not enrolled")),(G15/2), IF((AND(I6&lt;&gt;"not enrolled",K6="not enrolled",M6="not enrolled",O6="not enrolled")),(G15/1), 0))))</f>
        <v>0</v>
      </c>
      <c r="K15" s="6">
        <f>IF((AND(I6&lt;&gt;"not enrolled",K6&lt;&gt;"not enrolled",M6&lt;&gt;"not enrolled",O6&lt;&gt;"not enrolled")),(G15/4), IF((AND(I6&lt;&gt;"not enrolled",K6&lt;&gt;"not enrolled",M6&lt;&gt;"not enrolled",O6="not enrolled")),(G15/3), IF((AND(I6="not enrolled",K6&lt;&gt;"not enrolled",M6&lt;&gt;"not enrolled",O6&lt;&gt;"not enrolled")),(G15/3), IF((AND(I6&lt;&gt;"not enrolled",K6&lt;&gt;"not enrolled",M6="not enrolled",O6="not enrolled")),(G15/2), 0))))</f>
        <v>0</v>
      </c>
      <c r="M15" s="6">
        <f>IF((AND(I6&lt;&gt;"not enrolled",K6&lt;&gt;"not enrolled",M6&lt;&gt;"not enrolled",O6&lt;&gt;"not enrolled")),(G15/4), IF((AND(I6&lt;&gt;"not enrolled",K6&lt;&gt;"not enrolled",M6&lt;&gt;"not enrolled",O6="not enrolled")),(G15/3), IF((AND(I6="not enrolled",K6&lt;&gt;"not enrolled",M6&lt;&gt;"not enrolled",O6&lt;&gt;"not enrolled")),(G15/3), IF((AND(I6="not enrolled",K6="not enrolled",M6&lt;&gt;"not enrolled",O6&lt;&gt;"not enrolled")),(G15/2), 0))))</f>
        <v>0</v>
      </c>
      <c r="O15" s="6">
        <f>IF((AND(I6&lt;&gt;"not enrolled",K6&lt;&gt;"not enrolled",M6&lt;&gt;"not enrolled",O6&lt;&gt;"not enrolled")),(G15/4), IF((AND(I6="not enrolled",K6&lt;&gt;"not enrolled",M6&lt;&gt;"not enrolled",O6&lt;&gt;"not enrolled")),(G15/3), IF((AND(I6="not enrolled",K6="not enrolled",M6&lt;&gt;"not enrolled",O6&lt;&gt;"not enrolled")),(G15/2),  IF((AND(I6="not enrolled",K6="not enrolled",M6="not enrolled",O6&lt;&gt;"not enrolled")),(G15), 0))))</f>
        <v>0</v>
      </c>
    </row>
    <row r="16" spans="2:15" ht="21.75" customHeight="1" x14ac:dyDescent="0.25">
      <c r="B16" s="15" t="s">
        <v>8</v>
      </c>
      <c r="C16" s="15"/>
      <c r="D16" s="15"/>
      <c r="E16" s="15"/>
      <c r="F16" s="15"/>
      <c r="G16" s="21"/>
      <c r="H16" s="15"/>
      <c r="I16" s="16">
        <f>IF((AND(I6&lt;&gt;"not enrolled",K6&lt;&gt;"not enrolled",M6&lt;&gt;"not enrolled",O6&lt;&gt;"not enrolled")),(G16/4), IF((AND(I6&lt;&gt;"not enrolled",K6&lt;&gt;"not enrolled",M6&lt;&gt;"not enrolled",O6="not enrolled")),(G16/3), IF((AND(I6&lt;&gt;"not enrolled",K6&lt;&gt;"not enrolled",M6="not enrolled",O6="not enrolled")),(G16/2), IF((AND(I6&lt;&gt;"not enrolled",K6="not enrolled",M6="not enrolled",O6="not enrolled")),(G16/1), 0))))</f>
        <v>0</v>
      </c>
      <c r="J16" s="15"/>
      <c r="K16" s="16">
        <f>IF((AND(I6&lt;&gt;"not enrolled",K6&lt;&gt;"not enrolled",M6&lt;&gt;"not enrolled",O6&lt;&gt;"not enrolled")),(G16/4), IF((AND(I6&lt;&gt;"not enrolled",K6&lt;&gt;"not enrolled",M6&lt;&gt;"not enrolled",O6="not enrolled")),(G16/3), IF((AND(I6="not enrolled",K6&lt;&gt;"not enrolled",M6&lt;&gt;"not enrolled",O6&lt;&gt;"not enrolled")),(G16/3), IF((AND(I6&lt;&gt;"not enrolled",K6&lt;&gt;"not enrolled",M6="not enrolled",O6="not enrolled")),(G16/2), 0))))</f>
        <v>0</v>
      </c>
      <c r="L16" s="16"/>
      <c r="M16" s="16">
        <f>IF((AND(I6&lt;&gt;"not enrolled",K6&lt;&gt;"not enrolled",M6&lt;&gt;"not enrolled",O6&lt;&gt;"not enrolled")),(G16/4), IF((AND(I6&lt;&gt;"not enrolled",K6&lt;&gt;"not enrolled",M6&lt;&gt;"not enrolled",O6="not enrolled")),(G16/3), IF((AND(I6="not enrolled",K6&lt;&gt;"not enrolled",M6&lt;&gt;"not enrolled",O6&lt;&gt;"not enrolled")),(G16/3), IF((AND(I6="not enrolled",K6="not enrolled",M6&lt;&gt;"not enrolled",O6&lt;&gt;"not enrolled")),(G16/2), 0))))</f>
        <v>0</v>
      </c>
      <c r="N16" s="16"/>
      <c r="O16" s="16">
        <f>IF((AND(I6&lt;&gt;"not enrolled",K6&lt;&gt;"not enrolled",M6&lt;&gt;"not enrolled",O6&lt;&gt;"not enrolled")),(G16/4), IF((AND(I6="not enrolled",K6&lt;&gt;"not enrolled",M6&lt;&gt;"not enrolled",O6&lt;&gt;"not enrolled")),(G16/3), IF((AND(I6="not enrolled",K6="not enrolled",M6&lt;&gt;"not enrolled",O6&lt;&gt;"not enrolled")),(G16/2),  IF((AND(I6="not enrolled",K6="not enrolled",M6="not enrolled",O6&lt;&gt;"not enrolled")),(G16), 0))))</f>
        <v>0</v>
      </c>
    </row>
    <row r="17" spans="2:15" ht="21.75" customHeight="1" x14ac:dyDescent="0.25">
      <c r="B17" t="s">
        <v>21</v>
      </c>
      <c r="E17" s="22"/>
      <c r="G17" s="6">
        <f>E17-(E17*0.01062)</f>
        <v>0</v>
      </c>
      <c r="I17" s="6">
        <f>IF((AND(I6&lt;&gt;"not enrolled",K6&lt;&gt;"not enrolled",M6&lt;&gt;"not enrolled",O6&lt;&gt;"not enrolled")),(G17/4), IF((AND(I6&lt;&gt;"not enrolled",K6&lt;&gt;"not enrolled",M6&lt;&gt;"not enrolled",O6="not enrolled")),(G17/3), IF((AND(I6&lt;&gt;"not enrolled",K6&lt;&gt;"not enrolled",M6="not enrolled",O6="not enrolled")),(G17/2), IF((AND(I6&lt;&gt;"not enrolled",K6="not enrolled",M6="not enrolled",O6="not enrolled")),(G17/1), 0))))</f>
        <v>0</v>
      </c>
      <c r="K17" s="6">
        <f>IF((AND(I6&lt;&gt;"not enrolled",K6&lt;&gt;"not enrolled",M6&lt;&gt;"not enrolled",O6&lt;&gt;"not enrolled")),(G17/4), IF((AND(I6&lt;&gt;"not enrolled",K6&lt;&gt;"not enrolled",M6&lt;&gt;"not enrolled",O6="not enrolled")),(G17/3), IF((AND(I6="not enrolled",K6&lt;&gt;"not enrolled",M6&lt;&gt;"not enrolled",O6&lt;&gt;"not enrolled")),(G17/3), IF((AND(I6&lt;&gt;"not enrolled",K6&lt;&gt;"not enrolled",M6="not enrolled",O6="not enrolled")),(G17/2), 0))))</f>
        <v>0</v>
      </c>
      <c r="M17" s="6">
        <f>IF((AND(I6&lt;&gt;"not enrolled",K6&lt;&gt;"not enrolled",M6&lt;&gt;"not enrolled",O6&lt;&gt;"not enrolled")),(G17/4), IF((AND(I6&lt;&gt;"not enrolled",K6&lt;&gt;"not enrolled",M6&lt;&gt;"not enrolled",O6="not enrolled")),(G17/3), IF((AND(I6="not enrolled",K6&lt;&gt;"not enrolled",M6&lt;&gt;"not enrolled",O6&lt;&gt;"not enrolled")),(G17/3), IF((AND(I6="not enrolled",K6="not enrolled",M6&lt;&gt;"not enrolled",O6&lt;&gt;"not enrolled")),(G17/2), 0))))</f>
        <v>0</v>
      </c>
      <c r="O17" s="6">
        <f>IF((AND(I6&lt;&gt;"not enrolled",K6&lt;&gt;"not enrolled",M6&lt;&gt;"not enrolled",O6&lt;&gt;"not enrolled")),(G17/4), IF((AND(I6="not enrolled",K6&lt;&gt;"not enrolled",M6&lt;&gt;"not enrolled",O6&lt;&gt;"not enrolled")),(G17/3), IF((AND(I6="not enrolled",K6="not enrolled",M6&lt;&gt;"not enrolled",O6&lt;&gt;"not enrolled")),(G17/2),  IF((AND(I6="not enrolled",K6="not enrolled",M6="not enrolled",O6&lt;&gt;"not enrolled")),(G17), 0))))</f>
        <v>0</v>
      </c>
    </row>
    <row r="18" spans="2:15" ht="21.75" customHeight="1" x14ac:dyDescent="0.25">
      <c r="B18" s="15" t="s">
        <v>22</v>
      </c>
      <c r="C18" s="15"/>
      <c r="D18" s="15"/>
      <c r="E18" s="22"/>
      <c r="F18" s="15"/>
      <c r="G18" s="16">
        <f>E18-(E18*0.04248)</f>
        <v>0</v>
      </c>
      <c r="H18" s="15"/>
      <c r="I18" s="16">
        <f>IF((AND(I6&lt;&gt;"not enrolled",K6&lt;&gt;"not enrolled",M6&lt;&gt;"not enrolled",O6&lt;&gt;"not enrolled")),(G18/4), IF((AND(I6&lt;&gt;"not enrolled",K6&lt;&gt;"not enrolled",M6&lt;&gt;"not enrolled",O6="not enrolled")),(G18/3), IF((AND(I6&lt;&gt;"not enrolled",K6&lt;&gt;"not enrolled",M6="not enrolled",O6="not enrolled")),(G18/2), IF((AND(I6&lt;&gt;"not enrolled",K6="not enrolled",M6="not enrolled",O6="not enrolled")),(G18/1), 0))))</f>
        <v>0</v>
      </c>
      <c r="J18" s="15"/>
      <c r="K18" s="16">
        <f>IF((AND(I6&lt;&gt;"not enrolled",K6&lt;&gt;"not enrolled",M6&lt;&gt;"not enrolled",O6&lt;&gt;"not enrolled")),(G18/4), IF((AND(I6&lt;&gt;"not enrolled",K6&lt;&gt;"not enrolled",M6&lt;&gt;"not enrolled",O6="not enrolled")),(G18/3), IF((AND(I6="not enrolled",K6&lt;&gt;"not enrolled",M6&lt;&gt;"not enrolled",O6&lt;&gt;"not enrolled")),(G18/3), IF((AND(I6&lt;&gt;"not enrolled",K6&lt;&gt;"not enrolled",M6="not enrolled",O6="not enrolled")),(G18/2), 0))))</f>
        <v>0</v>
      </c>
      <c r="L18" s="16"/>
      <c r="M18" s="16">
        <f>IF((AND(I6&lt;&gt;"not enrolled",K6&lt;&gt;"not enrolled",M6&lt;&gt;"not enrolled",O6&lt;&gt;"not enrolled")),(G18/4), IF((AND(I6&lt;&gt;"not enrolled",K6&lt;&gt;"not enrolled",M6&lt;&gt;"not enrolled",O6="not enrolled")),(G18/3), IF((AND(I6="not enrolled",K6&lt;&gt;"not enrolled",M6&lt;&gt;"not enrolled",O6&lt;&gt;"not enrolled")),(G18/3), IF((AND(I6="not enrolled",K6="not enrolled",M6&lt;&gt;"not enrolled",O6&lt;&gt;"not enrolled")),(G18/2), 0))))</f>
        <v>0</v>
      </c>
      <c r="N18" s="16"/>
      <c r="O18" s="16">
        <f>IF((AND(I6&lt;&gt;"not enrolled",K6&lt;&gt;"not enrolled",M6&lt;&gt;"not enrolled",O6&lt;&gt;"not enrolled")),(G18/4), IF((AND(I6="not enrolled",K6&lt;&gt;"not enrolled",M6&lt;&gt;"not enrolled",O6&lt;&gt;"not enrolled")),(G18/3), IF((AND(I6="not enrolled",K6="not enrolled",M6&lt;&gt;"not enrolled",O6&lt;&gt;"not enrolled")),(G18/2),  IF((AND(I6="not enrolled",K6="not enrolled",M6="not enrolled",O6&lt;&gt;"not enrolled")),(G18), 0))))</f>
        <v>0</v>
      </c>
    </row>
    <row r="19" spans="2:15" ht="21.75" customHeight="1" x14ac:dyDescent="0.25">
      <c r="B19" t="s">
        <v>9</v>
      </c>
      <c r="G19" s="21"/>
      <c r="I19" s="6">
        <f>IF((AND(I6&lt;&gt;"not enrolled",K6&lt;&gt;"not enrolled",M6&lt;&gt;"not enrolled",O6&lt;&gt;"not enrolled")),(G19/4), IF((AND(I6&lt;&gt;"not enrolled",K6&lt;&gt;"not enrolled",M6&lt;&gt;"not enrolled",O6="not enrolled")),(G19/3), IF((AND(I6&lt;&gt;"not enrolled",K6&lt;&gt;"not enrolled",M6="not enrolled",O6="not enrolled")),(G19/2), IF((AND(I6&lt;&gt;"not enrolled",K6="not enrolled",M6="not enrolled",O6="not enrolled")),(G19/1), 0))))</f>
        <v>0</v>
      </c>
      <c r="K19" s="6">
        <f>IF((AND(I6&lt;&gt;"not enrolled",K6&lt;&gt;"not enrolled",M6&lt;&gt;"not enrolled",O6&lt;&gt;"not enrolled")),(G19/4), IF((AND(I6&lt;&gt;"not enrolled",K6&lt;&gt;"not enrolled",M6&lt;&gt;"not enrolled",O6="not enrolled")),(G19/3), IF((AND(I6="not enrolled",K6&lt;&gt;"not enrolled",M6&lt;&gt;"not enrolled",O6&lt;&gt;"not enrolled")),(G19/3), IF((AND(I6&lt;&gt;"not enrolled",K6&lt;&gt;"not enrolled",M6="not enrolled",O6="not enrolled")),(G19/2), 0))))</f>
        <v>0</v>
      </c>
      <c r="M19" s="6">
        <f>IF((AND(I6&lt;&gt;"not enrolled",K6&lt;&gt;"not enrolled",M6&lt;&gt;"not enrolled",O6&lt;&gt;"not enrolled")),(G19/4), IF((AND(I6&lt;&gt;"not enrolled",K6&lt;&gt;"not enrolled",M6&lt;&gt;"not enrolled",O6="not enrolled")),(G19/3), IF((AND(I6="not enrolled",K6&lt;&gt;"not enrolled",M6&lt;&gt;"not enrolled",O6&lt;&gt;"not enrolled")),(G19/3), IF((AND(I6="not enrolled",K6="not enrolled",M6&lt;&gt;"not enrolled",O6&lt;&gt;"not enrolled")),(G19/2), 0))))</f>
        <v>0</v>
      </c>
      <c r="O19" s="6">
        <f>IF((AND(I6&lt;&gt;"not enrolled",K6&lt;&gt;"not enrolled",M6&lt;&gt;"not enrolled",O6&lt;&gt;"not enrolled")),(G19/4), IF((AND(I6="not enrolled",K6&lt;&gt;"not enrolled",M6&lt;&gt;"not enrolled",O6&lt;&gt;"not enrolled")),(G19/3), IF((AND(I6="not enrolled",K6="not enrolled",M6&lt;&gt;"not enrolled",O6&lt;&gt;"not enrolled")),(G19/2),  IF((AND(I6="not enrolled",K6="not enrolled",M6="not enrolled",O6&lt;&gt;"not enrolled")),(G19), 0))))</f>
        <v>0</v>
      </c>
    </row>
    <row r="20" spans="2:15" ht="21.75" customHeight="1" x14ac:dyDescent="0.25">
      <c r="B20" s="92" t="s">
        <v>44</v>
      </c>
      <c r="C20" s="92"/>
      <c r="D20" s="92"/>
      <c r="E20" s="92"/>
      <c r="F20" s="92"/>
      <c r="G20" s="34">
        <f>I20+K20+M20+O20</f>
        <v>0</v>
      </c>
      <c r="H20" s="33"/>
      <c r="I20" s="23"/>
      <c r="J20" s="33"/>
      <c r="K20" s="23"/>
      <c r="L20" s="41"/>
      <c r="M20" s="23"/>
      <c r="N20" s="41"/>
      <c r="O20" s="23"/>
    </row>
    <row r="21" spans="2:15" ht="21.75" customHeight="1" x14ac:dyDescent="0.25">
      <c r="C21" s="12" t="s">
        <v>10</v>
      </c>
      <c r="G21" s="6">
        <f>SUM(G15:G20)</f>
        <v>0</v>
      </c>
      <c r="I21" s="6">
        <f>SUM(I15:I20)</f>
        <v>0</v>
      </c>
      <c r="K21" s="6">
        <f>SUM(K15:K20)</f>
        <v>0</v>
      </c>
      <c r="M21" s="6">
        <f>SUM(M15:M20)</f>
        <v>0</v>
      </c>
      <c r="O21" s="6">
        <f>SUM(O15:O20)</f>
        <v>0</v>
      </c>
    </row>
    <row r="22" spans="2:15" ht="15.75" thickBot="1" x14ac:dyDescent="0.3"/>
    <row r="23" spans="2:15" ht="21.75" customHeight="1" thickTop="1" thickBot="1" x14ac:dyDescent="0.35">
      <c r="B23" s="19" t="s">
        <v>12</v>
      </c>
      <c r="C23" s="18"/>
      <c r="D23" s="18"/>
      <c r="E23" s="18"/>
      <c r="F23" s="18"/>
      <c r="G23" s="30" t="e">
        <f>G12-G21</f>
        <v>#N/A</v>
      </c>
      <c r="H23" s="31"/>
      <c r="I23" s="30" t="e">
        <f>I12-I21</f>
        <v>#N/A</v>
      </c>
      <c r="J23" s="31"/>
      <c r="K23" s="30" t="e">
        <f>K12-K21</f>
        <v>#N/A</v>
      </c>
      <c r="L23" s="30"/>
      <c r="M23" s="30" t="e">
        <f>M12-M21</f>
        <v>#N/A</v>
      </c>
      <c r="N23" s="30"/>
      <c r="O23" s="30" t="e">
        <f>O12-O21</f>
        <v>#N/A</v>
      </c>
    </row>
    <row r="24" spans="2:15" ht="15.75" thickTop="1" x14ac:dyDescent="0.25"/>
    <row r="25" spans="2:15" x14ac:dyDescent="0.25">
      <c r="B25" s="12" t="s">
        <v>13</v>
      </c>
    </row>
    <row r="26" spans="2:15" ht="21.75" customHeight="1" x14ac:dyDescent="0.25">
      <c r="B26" s="96" t="s">
        <v>92</v>
      </c>
      <c r="C26" s="90"/>
      <c r="D26" s="90"/>
      <c r="E26" s="90"/>
      <c r="F26" s="90"/>
      <c r="G26" s="90"/>
      <c r="H26" s="90"/>
      <c r="I26" s="90"/>
      <c r="J26" s="90"/>
      <c r="K26" s="90"/>
      <c r="L26" s="90"/>
      <c r="M26" s="90"/>
      <c r="N26" s="90"/>
      <c r="O26" s="90"/>
    </row>
    <row r="27" spans="2:15" ht="21.75" customHeight="1" x14ac:dyDescent="0.25">
      <c r="B27" s="91" t="s">
        <v>20</v>
      </c>
      <c r="C27" s="91"/>
      <c r="D27" s="91"/>
      <c r="E27" s="91"/>
      <c r="F27" s="91"/>
      <c r="G27" s="91"/>
      <c r="H27" s="91"/>
      <c r="I27" s="91"/>
      <c r="J27" s="91"/>
      <c r="K27" s="91"/>
      <c r="L27" s="91"/>
      <c r="M27" s="91"/>
      <c r="N27" s="91"/>
      <c r="O27" s="91"/>
    </row>
    <row r="28" spans="2:15" ht="21.75" customHeight="1" x14ac:dyDescent="0.25">
      <c r="B28" t="s">
        <v>25</v>
      </c>
    </row>
    <row r="29" spans="2:15" ht="51" customHeight="1" x14ac:dyDescent="0.25">
      <c r="B29" s="90" t="s">
        <v>26</v>
      </c>
      <c r="C29" s="90"/>
      <c r="D29" s="90"/>
      <c r="E29" s="90"/>
      <c r="F29" s="90"/>
      <c r="G29" s="90"/>
      <c r="H29" s="90"/>
      <c r="I29" s="90"/>
      <c r="J29" s="90"/>
      <c r="K29" s="90"/>
      <c r="L29" s="90"/>
      <c r="M29" s="90"/>
      <c r="N29" s="90"/>
      <c r="O29" s="90"/>
    </row>
    <row r="30" spans="2:15" ht="21.75" customHeight="1" x14ac:dyDescent="0.25"/>
    <row r="32" spans="2:15" x14ac:dyDescent="0.25">
      <c r="B32" s="82" t="s">
        <v>14</v>
      </c>
      <c r="C32" s="82"/>
      <c r="D32" s="82"/>
      <c r="E32" s="82"/>
      <c r="F32" s="82"/>
      <c r="G32" s="82"/>
      <c r="H32" s="82"/>
      <c r="I32" s="82"/>
      <c r="J32" s="82"/>
      <c r="K32" s="82"/>
      <c r="L32" s="82"/>
      <c r="M32" s="82"/>
      <c r="N32" s="82"/>
      <c r="O32" s="82"/>
    </row>
  </sheetData>
  <sheetProtection sheet="1" selectLockedCells="1"/>
  <mergeCells count="7">
    <mergeCell ref="B29:O29"/>
    <mergeCell ref="B32:O32"/>
    <mergeCell ref="G2:O2"/>
    <mergeCell ref="C10:D10"/>
    <mergeCell ref="B20:F20"/>
    <mergeCell ref="B26:O26"/>
    <mergeCell ref="B27:O27"/>
  </mergeCells>
  <pageMargins left="0.5" right="0.5" top="0.5" bottom="0.5" header="0.3" footer="0.3"/>
  <pageSetup scale="6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Data!$N$2:$N$6</xm:f>
          </x14:formula1>
          <xm:sqref>K6</xm:sqref>
        </x14:dataValidation>
        <x14:dataValidation type="list" allowBlank="1" showInputMessage="1" showErrorMessage="1">
          <x14:formula1>
            <xm:f>Data!$N$2:$N$6</xm:f>
          </x14:formula1>
          <xm:sqref>M6</xm:sqref>
        </x14:dataValidation>
        <x14:dataValidation type="list" allowBlank="1" showInputMessage="1" showErrorMessage="1">
          <x14:formula1>
            <xm:f>Data!$N$2:$N$6</xm:f>
          </x14:formula1>
          <xm:sqref>O6</xm:sqref>
        </x14:dataValidation>
        <x14:dataValidation type="list" allowBlank="1" showInputMessage="1" showErrorMessage="1">
          <x14:formula1>
            <xm:f>Data!$N$2:$N$6</xm:f>
          </x14:formula1>
          <xm:sqref>I6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topLeftCell="A16" workbookViewId="0">
      <selection activeCell="C24" sqref="C24"/>
    </sheetView>
  </sheetViews>
  <sheetFormatPr defaultRowHeight="15" x14ac:dyDescent="0.25"/>
  <cols>
    <col min="1" max="1" width="20.7109375" customWidth="1"/>
    <col min="3" max="3" width="9.140625" customWidth="1"/>
    <col min="5" max="5" width="17" bestFit="1" customWidth="1"/>
    <col min="6" max="6" width="21.85546875" customWidth="1"/>
    <col min="9" max="9" width="17" bestFit="1" customWidth="1"/>
    <col min="13" max="13" width="17" bestFit="1" customWidth="1"/>
  </cols>
  <sheetData>
    <row r="1" spans="1:16" x14ac:dyDescent="0.25">
      <c r="A1" s="12" t="s">
        <v>36</v>
      </c>
      <c r="F1" s="12" t="s">
        <v>37</v>
      </c>
      <c r="J1" s="12" t="s">
        <v>38</v>
      </c>
      <c r="N1" s="12" t="s">
        <v>39</v>
      </c>
    </row>
    <row r="2" spans="1:16" x14ac:dyDescent="0.25">
      <c r="A2" s="46" t="s">
        <v>71</v>
      </c>
      <c r="B2">
        <v>0</v>
      </c>
      <c r="C2">
        <v>0</v>
      </c>
      <c r="D2">
        <v>0</v>
      </c>
      <c r="E2">
        <v>0</v>
      </c>
      <c r="F2" s="46" t="s">
        <v>71</v>
      </c>
      <c r="G2">
        <v>0</v>
      </c>
      <c r="H2">
        <v>0</v>
      </c>
      <c r="I2">
        <v>0</v>
      </c>
      <c r="J2" s="46" t="s">
        <v>71</v>
      </c>
      <c r="K2">
        <v>0</v>
      </c>
      <c r="L2">
        <v>0</v>
      </c>
      <c r="M2">
        <v>0</v>
      </c>
      <c r="N2" t="s">
        <v>71</v>
      </c>
      <c r="O2">
        <v>0</v>
      </c>
      <c r="P2">
        <v>0</v>
      </c>
    </row>
    <row r="3" spans="1:16" x14ac:dyDescent="0.25">
      <c r="A3" t="s">
        <v>51</v>
      </c>
      <c r="B3">
        <v>5704</v>
      </c>
      <c r="C3">
        <v>16</v>
      </c>
      <c r="D3">
        <v>53</v>
      </c>
      <c r="E3">
        <v>148</v>
      </c>
      <c r="F3" t="s">
        <v>51</v>
      </c>
      <c r="G3">
        <v>5704</v>
      </c>
      <c r="H3">
        <v>16</v>
      </c>
      <c r="I3">
        <v>80</v>
      </c>
      <c r="J3" t="s">
        <v>51</v>
      </c>
      <c r="K3">
        <v>3136</v>
      </c>
      <c r="L3">
        <v>16</v>
      </c>
      <c r="M3">
        <v>53</v>
      </c>
      <c r="N3" t="s">
        <v>51</v>
      </c>
      <c r="O3">
        <v>2852</v>
      </c>
      <c r="P3">
        <v>16</v>
      </c>
    </row>
    <row r="4" spans="1:16" x14ac:dyDescent="0.25">
      <c r="A4" t="s">
        <v>52</v>
      </c>
      <c r="B4">
        <v>7130</v>
      </c>
      <c r="C4">
        <v>20</v>
      </c>
      <c r="D4">
        <v>53</v>
      </c>
      <c r="E4">
        <v>148</v>
      </c>
      <c r="F4" t="s">
        <v>52</v>
      </c>
      <c r="G4">
        <v>7130</v>
      </c>
      <c r="H4">
        <v>20</v>
      </c>
      <c r="I4">
        <v>80</v>
      </c>
      <c r="J4" t="s">
        <v>52</v>
      </c>
      <c r="K4">
        <v>3920</v>
      </c>
      <c r="L4">
        <v>20</v>
      </c>
      <c r="M4">
        <v>53</v>
      </c>
      <c r="N4" t="s">
        <v>55</v>
      </c>
      <c r="O4">
        <v>5704</v>
      </c>
      <c r="P4">
        <v>32</v>
      </c>
    </row>
    <row r="5" spans="1:16" x14ac:dyDescent="0.25">
      <c r="A5" t="s">
        <v>53</v>
      </c>
      <c r="B5">
        <v>8556</v>
      </c>
      <c r="C5">
        <v>24</v>
      </c>
      <c r="D5">
        <v>53</v>
      </c>
      <c r="E5">
        <v>148</v>
      </c>
      <c r="F5" t="s">
        <v>53</v>
      </c>
      <c r="G5">
        <v>8556</v>
      </c>
      <c r="H5">
        <v>24</v>
      </c>
      <c r="I5">
        <v>80</v>
      </c>
      <c r="J5" t="s">
        <v>53</v>
      </c>
      <c r="K5">
        <v>4704</v>
      </c>
      <c r="L5">
        <v>24</v>
      </c>
      <c r="M5">
        <v>53</v>
      </c>
      <c r="N5" t="s">
        <v>59</v>
      </c>
      <c r="O5">
        <v>8556</v>
      </c>
      <c r="P5">
        <v>48</v>
      </c>
    </row>
    <row r="6" spans="1:16" x14ac:dyDescent="0.25">
      <c r="A6" t="s">
        <v>54</v>
      </c>
      <c r="B6">
        <v>9982</v>
      </c>
      <c r="C6">
        <v>28</v>
      </c>
      <c r="D6">
        <v>53</v>
      </c>
      <c r="E6">
        <v>148</v>
      </c>
      <c r="F6" t="s">
        <v>54</v>
      </c>
      <c r="G6">
        <v>9982</v>
      </c>
      <c r="H6">
        <v>28</v>
      </c>
      <c r="I6">
        <v>80</v>
      </c>
      <c r="J6" t="s">
        <v>54</v>
      </c>
      <c r="K6">
        <v>5488</v>
      </c>
      <c r="L6">
        <v>28</v>
      </c>
      <c r="M6">
        <v>53</v>
      </c>
      <c r="N6" t="s">
        <v>63</v>
      </c>
      <c r="O6">
        <v>11408</v>
      </c>
      <c r="P6">
        <v>64</v>
      </c>
    </row>
    <row r="7" spans="1:16" x14ac:dyDescent="0.25">
      <c r="A7" t="s">
        <v>55</v>
      </c>
      <c r="B7">
        <v>11408</v>
      </c>
      <c r="C7">
        <v>32</v>
      </c>
      <c r="D7">
        <v>53</v>
      </c>
      <c r="E7">
        <v>148</v>
      </c>
      <c r="F7" t="s">
        <v>55</v>
      </c>
      <c r="G7">
        <v>11408</v>
      </c>
      <c r="H7">
        <v>32</v>
      </c>
      <c r="I7">
        <v>80</v>
      </c>
      <c r="J7" t="s">
        <v>55</v>
      </c>
      <c r="K7">
        <v>6272</v>
      </c>
      <c r="L7">
        <v>32</v>
      </c>
      <c r="M7">
        <v>53</v>
      </c>
    </row>
    <row r="8" spans="1:16" x14ac:dyDescent="0.25">
      <c r="A8" t="s">
        <v>56</v>
      </c>
      <c r="B8">
        <v>12834</v>
      </c>
      <c r="C8">
        <v>36</v>
      </c>
      <c r="D8">
        <v>53</v>
      </c>
      <c r="E8">
        <v>148</v>
      </c>
      <c r="F8" t="s">
        <v>56</v>
      </c>
      <c r="G8">
        <v>12834</v>
      </c>
      <c r="H8">
        <v>36</v>
      </c>
      <c r="I8">
        <v>80</v>
      </c>
      <c r="J8" t="s">
        <v>56</v>
      </c>
      <c r="K8">
        <v>7056</v>
      </c>
      <c r="L8">
        <v>36</v>
      </c>
      <c r="M8">
        <v>53</v>
      </c>
    </row>
    <row r="9" spans="1:16" x14ac:dyDescent="0.25">
      <c r="A9" t="s">
        <v>57</v>
      </c>
      <c r="B9">
        <v>14260</v>
      </c>
      <c r="C9">
        <v>40</v>
      </c>
      <c r="D9">
        <v>53</v>
      </c>
      <c r="E9">
        <v>148</v>
      </c>
      <c r="F9" t="s">
        <v>57</v>
      </c>
      <c r="G9">
        <v>14260</v>
      </c>
      <c r="H9">
        <v>40</v>
      </c>
      <c r="I9">
        <v>80</v>
      </c>
      <c r="J9" t="s">
        <v>57</v>
      </c>
      <c r="K9">
        <v>7840</v>
      </c>
      <c r="L9">
        <v>40</v>
      </c>
      <c r="M9">
        <v>53</v>
      </c>
    </row>
    <row r="10" spans="1:16" x14ac:dyDescent="0.25">
      <c r="A10" t="s">
        <v>58</v>
      </c>
      <c r="B10">
        <v>15686</v>
      </c>
      <c r="C10">
        <v>44</v>
      </c>
      <c r="D10">
        <v>53</v>
      </c>
      <c r="E10">
        <v>148</v>
      </c>
      <c r="F10" t="s">
        <v>58</v>
      </c>
      <c r="G10">
        <v>15686</v>
      </c>
      <c r="H10">
        <v>44</v>
      </c>
      <c r="I10">
        <v>80</v>
      </c>
      <c r="J10" t="s">
        <v>58</v>
      </c>
      <c r="K10">
        <v>8624</v>
      </c>
      <c r="L10">
        <v>44</v>
      </c>
      <c r="M10">
        <v>53</v>
      </c>
    </row>
    <row r="11" spans="1:16" x14ac:dyDescent="0.25">
      <c r="A11" t="s">
        <v>59</v>
      </c>
      <c r="B11">
        <v>17112</v>
      </c>
      <c r="C11">
        <v>48</v>
      </c>
      <c r="D11">
        <v>53</v>
      </c>
      <c r="E11">
        <v>148</v>
      </c>
      <c r="F11" t="s">
        <v>59</v>
      </c>
      <c r="G11">
        <v>17112</v>
      </c>
      <c r="H11">
        <v>48</v>
      </c>
      <c r="I11">
        <v>80</v>
      </c>
      <c r="J11" t="s">
        <v>59</v>
      </c>
      <c r="K11">
        <v>9408</v>
      </c>
      <c r="L11">
        <v>48</v>
      </c>
      <c r="M11">
        <v>53</v>
      </c>
    </row>
    <row r="12" spans="1:16" x14ac:dyDescent="0.25">
      <c r="A12" t="s">
        <v>60</v>
      </c>
      <c r="B12">
        <v>17112</v>
      </c>
      <c r="C12">
        <v>48</v>
      </c>
      <c r="D12">
        <v>53</v>
      </c>
      <c r="E12">
        <v>148</v>
      </c>
      <c r="F12" t="s">
        <v>60</v>
      </c>
      <c r="G12">
        <v>18538</v>
      </c>
      <c r="H12">
        <v>52</v>
      </c>
      <c r="I12">
        <v>80</v>
      </c>
      <c r="J12" t="s">
        <v>60</v>
      </c>
      <c r="K12">
        <v>10192</v>
      </c>
      <c r="L12">
        <v>52</v>
      </c>
      <c r="M12">
        <v>53</v>
      </c>
    </row>
    <row r="13" spans="1:16" x14ac:dyDescent="0.25">
      <c r="A13" t="s">
        <v>61</v>
      </c>
      <c r="B13">
        <v>17112</v>
      </c>
      <c r="C13">
        <v>48</v>
      </c>
      <c r="D13">
        <v>53</v>
      </c>
      <c r="E13">
        <v>148</v>
      </c>
      <c r="F13" t="s">
        <v>61</v>
      </c>
      <c r="G13">
        <v>19964</v>
      </c>
      <c r="H13">
        <v>56</v>
      </c>
      <c r="I13">
        <v>80</v>
      </c>
      <c r="J13" t="s">
        <v>61</v>
      </c>
      <c r="K13">
        <v>10976</v>
      </c>
      <c r="L13">
        <v>56</v>
      </c>
      <c r="M13">
        <v>53</v>
      </c>
    </row>
    <row r="14" spans="1:16" x14ac:dyDescent="0.25">
      <c r="A14" t="s">
        <v>62</v>
      </c>
      <c r="B14">
        <v>17112</v>
      </c>
      <c r="C14">
        <v>48</v>
      </c>
      <c r="D14">
        <v>53</v>
      </c>
      <c r="E14">
        <v>148</v>
      </c>
      <c r="F14" t="s">
        <v>62</v>
      </c>
      <c r="G14">
        <v>21390</v>
      </c>
      <c r="H14">
        <v>60</v>
      </c>
      <c r="I14">
        <v>80</v>
      </c>
      <c r="J14" t="s">
        <v>62</v>
      </c>
      <c r="K14">
        <v>11760</v>
      </c>
      <c r="L14">
        <v>60</v>
      </c>
      <c r="M14">
        <v>53</v>
      </c>
    </row>
    <row r="15" spans="1:16" x14ac:dyDescent="0.25">
      <c r="A15" t="s">
        <v>63</v>
      </c>
      <c r="B15">
        <v>17112</v>
      </c>
      <c r="C15">
        <v>48</v>
      </c>
      <c r="D15">
        <v>53</v>
      </c>
      <c r="E15">
        <v>148</v>
      </c>
      <c r="F15" t="s">
        <v>63</v>
      </c>
      <c r="G15">
        <v>22816</v>
      </c>
      <c r="H15">
        <v>64</v>
      </c>
      <c r="I15">
        <v>80</v>
      </c>
      <c r="J15" t="s">
        <v>63</v>
      </c>
      <c r="K15">
        <v>12544</v>
      </c>
      <c r="L15">
        <v>64</v>
      </c>
      <c r="M15">
        <v>53</v>
      </c>
    </row>
    <row r="16" spans="1:16" x14ac:dyDescent="0.25">
      <c r="A16" t="s">
        <v>64</v>
      </c>
      <c r="B16">
        <v>17112</v>
      </c>
      <c r="C16">
        <v>48</v>
      </c>
      <c r="D16">
        <v>53</v>
      </c>
      <c r="E16">
        <v>148</v>
      </c>
      <c r="F16" t="s">
        <v>64</v>
      </c>
      <c r="G16">
        <v>24242</v>
      </c>
      <c r="H16">
        <v>68</v>
      </c>
      <c r="I16">
        <v>80</v>
      </c>
      <c r="J16" t="s">
        <v>64</v>
      </c>
      <c r="K16">
        <v>13328</v>
      </c>
      <c r="L16">
        <v>68</v>
      </c>
      <c r="M16">
        <v>53</v>
      </c>
    </row>
    <row r="17" spans="1:13" x14ac:dyDescent="0.25">
      <c r="A17" t="s">
        <v>65</v>
      </c>
      <c r="B17">
        <v>17112</v>
      </c>
      <c r="C17">
        <v>48</v>
      </c>
      <c r="D17">
        <v>53</v>
      </c>
      <c r="E17">
        <v>148</v>
      </c>
      <c r="F17" t="s">
        <v>65</v>
      </c>
      <c r="G17">
        <v>25668</v>
      </c>
      <c r="H17">
        <v>72</v>
      </c>
      <c r="I17">
        <v>80</v>
      </c>
      <c r="J17" t="s">
        <v>65</v>
      </c>
      <c r="K17">
        <v>14112</v>
      </c>
      <c r="L17">
        <v>72</v>
      </c>
      <c r="M17">
        <v>53</v>
      </c>
    </row>
    <row r="18" spans="1:13" x14ac:dyDescent="0.25">
      <c r="A18" t="s">
        <v>66</v>
      </c>
      <c r="B18">
        <v>18538</v>
      </c>
      <c r="C18">
        <v>52</v>
      </c>
      <c r="D18">
        <v>53</v>
      </c>
      <c r="E18">
        <v>148</v>
      </c>
      <c r="F18" t="s">
        <v>66</v>
      </c>
      <c r="G18">
        <v>27094</v>
      </c>
      <c r="H18">
        <v>76</v>
      </c>
      <c r="I18">
        <v>80</v>
      </c>
      <c r="J18" t="s">
        <v>66</v>
      </c>
      <c r="K18">
        <v>14896</v>
      </c>
      <c r="L18">
        <v>76</v>
      </c>
      <c r="M18">
        <v>53</v>
      </c>
    </row>
    <row r="19" spans="1:13" x14ac:dyDescent="0.25">
      <c r="A19" t="s">
        <v>67</v>
      </c>
      <c r="B19">
        <v>19964</v>
      </c>
      <c r="C19">
        <v>56</v>
      </c>
      <c r="D19">
        <v>53</v>
      </c>
      <c r="E19">
        <v>148</v>
      </c>
      <c r="F19" t="s">
        <v>67</v>
      </c>
      <c r="G19">
        <v>28520</v>
      </c>
      <c r="H19">
        <v>80</v>
      </c>
      <c r="I19">
        <v>80</v>
      </c>
      <c r="J19" t="s">
        <v>67</v>
      </c>
      <c r="K19">
        <v>15680</v>
      </c>
      <c r="L19">
        <v>80</v>
      </c>
      <c r="M19">
        <v>53</v>
      </c>
    </row>
    <row r="20" spans="1:13" x14ac:dyDescent="0.25">
      <c r="A20" t="s">
        <v>142</v>
      </c>
      <c r="B20">
        <v>21390</v>
      </c>
      <c r="C20">
        <v>60</v>
      </c>
      <c r="D20">
        <v>53</v>
      </c>
      <c r="E20">
        <v>148</v>
      </c>
      <c r="F20" t="s">
        <v>142</v>
      </c>
      <c r="G20">
        <v>29946</v>
      </c>
      <c r="H20">
        <v>84</v>
      </c>
      <c r="I20">
        <v>80</v>
      </c>
      <c r="J20" t="s">
        <v>142</v>
      </c>
      <c r="K20">
        <v>16464</v>
      </c>
      <c r="L20">
        <v>84</v>
      </c>
      <c r="M20">
        <v>53</v>
      </c>
    </row>
    <row r="21" spans="1:13" x14ac:dyDescent="0.25">
      <c r="A21" t="s">
        <v>143</v>
      </c>
      <c r="B21">
        <v>22816</v>
      </c>
      <c r="C21">
        <v>64</v>
      </c>
      <c r="D21">
        <v>53</v>
      </c>
      <c r="E21">
        <v>148</v>
      </c>
      <c r="F21" t="s">
        <v>143</v>
      </c>
      <c r="G21">
        <v>31372</v>
      </c>
      <c r="H21">
        <v>88</v>
      </c>
      <c r="I21">
        <v>80</v>
      </c>
      <c r="J21" t="s">
        <v>143</v>
      </c>
      <c r="K21">
        <v>17248</v>
      </c>
      <c r="L21">
        <v>88</v>
      </c>
      <c r="M21">
        <v>53</v>
      </c>
    </row>
    <row r="23" spans="1:13" x14ac:dyDescent="0.25">
      <c r="A23" t="s">
        <v>40</v>
      </c>
    </row>
    <row r="24" spans="1:13" x14ac:dyDescent="0.25">
      <c r="A24" t="s">
        <v>4</v>
      </c>
      <c r="B24">
        <v>1575</v>
      </c>
      <c r="C24">
        <v>200</v>
      </c>
    </row>
    <row r="25" spans="1:13" x14ac:dyDescent="0.25">
      <c r="A25" t="s">
        <v>5</v>
      </c>
      <c r="B25">
        <v>0</v>
      </c>
      <c r="C25">
        <v>0</v>
      </c>
    </row>
    <row r="27" spans="1:13" x14ac:dyDescent="0.25">
      <c r="A27" t="s">
        <v>88</v>
      </c>
    </row>
    <row r="28" spans="1:13" x14ac:dyDescent="0.25">
      <c r="A28" t="s">
        <v>33</v>
      </c>
    </row>
    <row r="29" spans="1:13" x14ac:dyDescent="0.25">
      <c r="A29" t="s">
        <v>34</v>
      </c>
    </row>
    <row r="30" spans="1:13" x14ac:dyDescent="0.25">
      <c r="A30" t="s">
        <v>35</v>
      </c>
    </row>
    <row r="32" spans="1:13" x14ac:dyDescent="0.25">
      <c r="B32" s="12"/>
      <c r="D32" s="12" t="s">
        <v>41</v>
      </c>
      <c r="E32" s="12" t="s">
        <v>90</v>
      </c>
      <c r="G32" s="12" t="s">
        <v>147</v>
      </c>
    </row>
    <row r="33" spans="1:10" x14ac:dyDescent="0.25">
      <c r="A33" t="s">
        <v>71</v>
      </c>
      <c r="B33" s="12"/>
      <c r="C33">
        <v>0</v>
      </c>
      <c r="D33" s="46">
        <v>0</v>
      </c>
      <c r="E33" s="46">
        <v>0</v>
      </c>
      <c r="G33" s="46" t="s">
        <v>71</v>
      </c>
      <c r="H33">
        <v>0</v>
      </c>
      <c r="I33">
        <v>0</v>
      </c>
      <c r="J33">
        <v>0</v>
      </c>
    </row>
    <row r="34" spans="1:10" x14ac:dyDescent="0.25">
      <c r="A34" t="s">
        <v>51</v>
      </c>
      <c r="C34">
        <v>16</v>
      </c>
      <c r="D34">
        <v>3936</v>
      </c>
      <c r="E34">
        <v>3660</v>
      </c>
      <c r="G34" t="s">
        <v>51</v>
      </c>
      <c r="H34">
        <v>4168</v>
      </c>
      <c r="I34">
        <v>16</v>
      </c>
      <c r="J34">
        <v>53</v>
      </c>
    </row>
    <row r="35" spans="1:10" x14ac:dyDescent="0.25">
      <c r="A35" t="s">
        <v>52</v>
      </c>
      <c r="C35">
        <v>20</v>
      </c>
      <c r="D35">
        <v>4920</v>
      </c>
      <c r="E35">
        <v>4575</v>
      </c>
      <c r="G35" t="s">
        <v>52</v>
      </c>
      <c r="H35">
        <v>5210</v>
      </c>
      <c r="I35">
        <v>20</v>
      </c>
      <c r="J35">
        <v>53</v>
      </c>
    </row>
    <row r="36" spans="1:10" x14ac:dyDescent="0.25">
      <c r="A36" t="s">
        <v>53</v>
      </c>
      <c r="C36">
        <v>24</v>
      </c>
      <c r="D36">
        <v>5904</v>
      </c>
      <c r="E36">
        <v>5490</v>
      </c>
      <c r="G36" t="s">
        <v>53</v>
      </c>
      <c r="H36">
        <v>6252</v>
      </c>
      <c r="I36">
        <v>24</v>
      </c>
      <c r="J36">
        <v>53</v>
      </c>
    </row>
    <row r="37" spans="1:10" x14ac:dyDescent="0.25">
      <c r="A37" t="s">
        <v>54</v>
      </c>
      <c r="C37">
        <v>28</v>
      </c>
      <c r="D37">
        <v>6888</v>
      </c>
      <c r="E37">
        <v>6405</v>
      </c>
      <c r="G37" t="s">
        <v>54</v>
      </c>
      <c r="H37">
        <v>7294</v>
      </c>
      <c r="I37">
        <v>28</v>
      </c>
      <c r="J37">
        <v>53</v>
      </c>
    </row>
    <row r="38" spans="1:10" x14ac:dyDescent="0.25">
      <c r="A38" t="s">
        <v>55</v>
      </c>
      <c r="C38">
        <v>32</v>
      </c>
      <c r="D38">
        <v>7872</v>
      </c>
      <c r="E38">
        <v>7320</v>
      </c>
      <c r="G38" t="s">
        <v>55</v>
      </c>
      <c r="H38">
        <v>8336</v>
      </c>
      <c r="I38">
        <v>32</v>
      </c>
      <c r="J38">
        <v>53</v>
      </c>
    </row>
    <row r="39" spans="1:10" x14ac:dyDescent="0.25">
      <c r="A39" t="s">
        <v>56</v>
      </c>
      <c r="C39">
        <v>36</v>
      </c>
      <c r="D39">
        <v>8856</v>
      </c>
      <c r="E39">
        <v>8235</v>
      </c>
      <c r="G39" t="s">
        <v>56</v>
      </c>
      <c r="H39">
        <v>9378</v>
      </c>
      <c r="I39">
        <v>36</v>
      </c>
      <c r="J39">
        <v>53</v>
      </c>
    </row>
    <row r="40" spans="1:10" x14ac:dyDescent="0.25">
      <c r="A40" t="s">
        <v>57</v>
      </c>
      <c r="C40">
        <v>40</v>
      </c>
      <c r="D40">
        <v>9840</v>
      </c>
      <c r="E40">
        <v>9150</v>
      </c>
      <c r="G40" t="s">
        <v>57</v>
      </c>
      <c r="H40">
        <v>10420</v>
      </c>
      <c r="I40">
        <v>40</v>
      </c>
      <c r="J40">
        <v>53</v>
      </c>
    </row>
    <row r="41" spans="1:10" x14ac:dyDescent="0.25">
      <c r="A41" t="s">
        <v>58</v>
      </c>
      <c r="C41">
        <v>44</v>
      </c>
      <c r="D41">
        <v>10824</v>
      </c>
      <c r="E41">
        <v>10065</v>
      </c>
      <c r="G41" t="s">
        <v>58</v>
      </c>
      <c r="H41">
        <v>11462</v>
      </c>
      <c r="I41">
        <v>44</v>
      </c>
      <c r="J41">
        <v>53</v>
      </c>
    </row>
    <row r="42" spans="1:10" x14ac:dyDescent="0.25">
      <c r="A42" t="s">
        <v>59</v>
      </c>
      <c r="C42">
        <v>48</v>
      </c>
      <c r="D42">
        <v>11808</v>
      </c>
      <c r="E42">
        <v>10980</v>
      </c>
      <c r="G42" t="s">
        <v>59</v>
      </c>
      <c r="H42">
        <v>12504</v>
      </c>
      <c r="I42">
        <v>48</v>
      </c>
      <c r="J42">
        <v>53</v>
      </c>
    </row>
    <row r="43" spans="1:10" x14ac:dyDescent="0.25">
      <c r="A43" t="s">
        <v>60</v>
      </c>
      <c r="C43">
        <v>52</v>
      </c>
      <c r="D43">
        <v>12792</v>
      </c>
      <c r="E43">
        <v>11895</v>
      </c>
      <c r="G43" t="s">
        <v>60</v>
      </c>
      <c r="H43">
        <v>13546</v>
      </c>
      <c r="I43">
        <v>52</v>
      </c>
      <c r="J43">
        <v>53</v>
      </c>
    </row>
    <row r="44" spans="1:10" x14ac:dyDescent="0.25">
      <c r="A44" t="s">
        <v>61</v>
      </c>
      <c r="C44">
        <v>56</v>
      </c>
      <c r="D44">
        <v>13776</v>
      </c>
      <c r="E44">
        <v>12810</v>
      </c>
      <c r="G44" t="s">
        <v>61</v>
      </c>
      <c r="H44">
        <v>14588</v>
      </c>
      <c r="I44">
        <v>56</v>
      </c>
      <c r="J44">
        <v>53</v>
      </c>
    </row>
    <row r="45" spans="1:10" x14ac:dyDescent="0.25">
      <c r="A45" t="s">
        <v>62</v>
      </c>
      <c r="C45">
        <v>60</v>
      </c>
      <c r="D45">
        <v>14760</v>
      </c>
      <c r="E45">
        <v>13725</v>
      </c>
      <c r="G45" t="s">
        <v>62</v>
      </c>
      <c r="H45">
        <v>15630</v>
      </c>
      <c r="I45">
        <v>60</v>
      </c>
      <c r="J45">
        <v>53</v>
      </c>
    </row>
    <row r="46" spans="1:10" x14ac:dyDescent="0.25">
      <c r="A46" t="s">
        <v>63</v>
      </c>
      <c r="C46">
        <v>64</v>
      </c>
      <c r="D46">
        <v>15744</v>
      </c>
      <c r="E46">
        <v>14640</v>
      </c>
      <c r="G46" t="s">
        <v>63</v>
      </c>
      <c r="H46">
        <v>16672</v>
      </c>
      <c r="I46">
        <v>64</v>
      </c>
      <c r="J46">
        <v>53</v>
      </c>
    </row>
    <row r="47" spans="1:10" x14ac:dyDescent="0.25">
      <c r="G47" t="s">
        <v>64</v>
      </c>
      <c r="H47">
        <v>17714</v>
      </c>
      <c r="I47">
        <v>68</v>
      </c>
      <c r="J47">
        <v>53</v>
      </c>
    </row>
    <row r="48" spans="1:10" x14ac:dyDescent="0.25">
      <c r="A48" s="12" t="s">
        <v>47</v>
      </c>
      <c r="G48" t="s">
        <v>65</v>
      </c>
      <c r="H48">
        <v>18756</v>
      </c>
      <c r="I48">
        <v>72</v>
      </c>
      <c r="J48">
        <v>53</v>
      </c>
    </row>
    <row r="49" spans="1:15" x14ac:dyDescent="0.25">
      <c r="B49" t="s">
        <v>48</v>
      </c>
      <c r="G49" t="s">
        <v>66</v>
      </c>
      <c r="H49">
        <v>19798</v>
      </c>
      <c r="I49">
        <v>76</v>
      </c>
      <c r="J49">
        <v>53</v>
      </c>
    </row>
    <row r="50" spans="1:15" x14ac:dyDescent="0.25">
      <c r="A50" t="s">
        <v>48</v>
      </c>
      <c r="B50" t="s">
        <v>70</v>
      </c>
      <c r="G50" t="s">
        <v>67</v>
      </c>
      <c r="H50">
        <v>20840</v>
      </c>
      <c r="I50">
        <v>80</v>
      </c>
      <c r="J50">
        <v>53</v>
      </c>
    </row>
    <row r="51" spans="1:15" x14ac:dyDescent="0.25">
      <c r="A51" t="s">
        <v>32</v>
      </c>
      <c r="B51" t="s">
        <v>32</v>
      </c>
      <c r="G51" t="s">
        <v>142</v>
      </c>
      <c r="H51">
        <v>21882</v>
      </c>
      <c r="I51">
        <v>84</v>
      </c>
      <c r="J51">
        <v>53</v>
      </c>
    </row>
    <row r="52" spans="1:15" x14ac:dyDescent="0.25">
      <c r="B52" t="s">
        <v>34</v>
      </c>
      <c r="G52" t="s">
        <v>143</v>
      </c>
      <c r="H52">
        <v>22924</v>
      </c>
      <c r="I52">
        <v>88</v>
      </c>
      <c r="J52">
        <v>53</v>
      </c>
    </row>
    <row r="54" spans="1:15" x14ac:dyDescent="0.25">
      <c r="A54" s="12" t="s">
        <v>49</v>
      </c>
      <c r="B54" s="12">
        <v>2019</v>
      </c>
      <c r="C54" s="12">
        <v>2020</v>
      </c>
      <c r="D54" s="12" t="s">
        <v>74</v>
      </c>
      <c r="E54" s="12" t="s">
        <v>87</v>
      </c>
      <c r="F54" s="12" t="s">
        <v>69</v>
      </c>
      <c r="G54" s="12">
        <v>2019</v>
      </c>
      <c r="H54" s="12">
        <v>2020</v>
      </c>
    </row>
    <row r="55" spans="1:15" x14ac:dyDescent="0.25">
      <c r="A55" s="46" t="s">
        <v>71</v>
      </c>
      <c r="B55" s="46">
        <v>0</v>
      </c>
      <c r="C55" s="46">
        <v>0</v>
      </c>
      <c r="D55">
        <v>0</v>
      </c>
      <c r="E55">
        <v>0</v>
      </c>
      <c r="F55" s="46" t="s">
        <v>4</v>
      </c>
      <c r="G55">
        <v>15591</v>
      </c>
      <c r="H55">
        <v>16200</v>
      </c>
    </row>
    <row r="56" spans="1:15" x14ac:dyDescent="0.25">
      <c r="A56" t="s">
        <v>51</v>
      </c>
      <c r="B56">
        <v>4520</v>
      </c>
      <c r="C56">
        <v>4700</v>
      </c>
      <c r="D56">
        <v>16</v>
      </c>
      <c r="E56">
        <v>53</v>
      </c>
      <c r="F56" t="s">
        <v>5</v>
      </c>
      <c r="G56">
        <v>0</v>
      </c>
      <c r="H56">
        <v>0</v>
      </c>
    </row>
    <row r="57" spans="1:15" x14ac:dyDescent="0.25">
      <c r="A57" t="s">
        <v>52</v>
      </c>
      <c r="B57">
        <v>5650</v>
      </c>
      <c r="C57">
        <v>5875</v>
      </c>
      <c r="D57">
        <v>20</v>
      </c>
      <c r="E57">
        <v>53</v>
      </c>
    </row>
    <row r="58" spans="1:15" x14ac:dyDescent="0.25">
      <c r="A58" t="s">
        <v>53</v>
      </c>
      <c r="B58">
        <v>6780</v>
      </c>
      <c r="C58">
        <v>7050</v>
      </c>
      <c r="D58">
        <v>24</v>
      </c>
      <c r="E58">
        <v>53</v>
      </c>
      <c r="F58" s="12" t="s">
        <v>81</v>
      </c>
      <c r="G58" s="12">
        <v>2019</v>
      </c>
      <c r="H58" s="12">
        <v>2020</v>
      </c>
      <c r="I58" s="55" t="s">
        <v>74</v>
      </c>
      <c r="K58" s="12" t="s">
        <v>85</v>
      </c>
      <c r="L58" s="12">
        <v>2019</v>
      </c>
      <c r="M58" s="12">
        <v>2020</v>
      </c>
      <c r="N58" s="55" t="s">
        <v>74</v>
      </c>
      <c r="O58" s="12" t="s">
        <v>87</v>
      </c>
    </row>
    <row r="59" spans="1:15" x14ac:dyDescent="0.25">
      <c r="A59" t="s">
        <v>54</v>
      </c>
      <c r="B59">
        <v>7910</v>
      </c>
      <c r="C59">
        <v>8225</v>
      </c>
      <c r="D59">
        <v>28</v>
      </c>
      <c r="E59">
        <v>53</v>
      </c>
      <c r="F59" s="46" t="s">
        <v>71</v>
      </c>
      <c r="G59" s="46">
        <v>0</v>
      </c>
      <c r="H59" s="46">
        <v>0</v>
      </c>
      <c r="I59">
        <v>0</v>
      </c>
      <c r="K59" s="46" t="s">
        <v>71</v>
      </c>
      <c r="L59" s="46">
        <v>0</v>
      </c>
      <c r="M59" s="46">
        <v>0</v>
      </c>
      <c r="N59">
        <v>0</v>
      </c>
      <c r="O59">
        <v>0</v>
      </c>
    </row>
    <row r="60" spans="1:15" x14ac:dyDescent="0.25">
      <c r="A60" t="s">
        <v>55</v>
      </c>
      <c r="B60">
        <v>9040</v>
      </c>
      <c r="C60">
        <v>9400</v>
      </c>
      <c r="D60">
        <v>32</v>
      </c>
      <c r="E60">
        <v>53</v>
      </c>
      <c r="F60" t="s">
        <v>51</v>
      </c>
      <c r="G60">
        <v>5196</v>
      </c>
      <c r="H60" s="46">
        <v>5400</v>
      </c>
      <c r="I60">
        <v>16</v>
      </c>
      <c r="K60" t="s">
        <v>51</v>
      </c>
      <c r="L60">
        <v>5332</v>
      </c>
      <c r="M60" s="46">
        <v>5556</v>
      </c>
      <c r="N60">
        <v>16</v>
      </c>
      <c r="O60">
        <v>53</v>
      </c>
    </row>
    <row r="61" spans="1:15" x14ac:dyDescent="0.25">
      <c r="A61" t="s">
        <v>56</v>
      </c>
      <c r="B61">
        <v>10170</v>
      </c>
      <c r="C61">
        <v>10575</v>
      </c>
      <c r="D61">
        <v>36</v>
      </c>
      <c r="E61">
        <v>53</v>
      </c>
      <c r="F61" t="s">
        <v>52</v>
      </c>
      <c r="G61">
        <v>6495</v>
      </c>
      <c r="H61" s="46">
        <v>6750</v>
      </c>
      <c r="I61">
        <v>20</v>
      </c>
      <c r="K61" t="s">
        <v>52</v>
      </c>
      <c r="L61">
        <v>6665</v>
      </c>
      <c r="M61" s="46">
        <v>6945</v>
      </c>
      <c r="N61">
        <v>20</v>
      </c>
      <c r="O61">
        <v>53</v>
      </c>
    </row>
    <row r="62" spans="1:15" x14ac:dyDescent="0.25">
      <c r="A62" t="s">
        <v>57</v>
      </c>
      <c r="B62">
        <v>11300</v>
      </c>
      <c r="C62">
        <v>11750</v>
      </c>
      <c r="D62">
        <v>40</v>
      </c>
      <c r="E62">
        <v>53</v>
      </c>
      <c r="F62" t="s">
        <v>53</v>
      </c>
      <c r="G62">
        <v>7794</v>
      </c>
      <c r="H62" s="46">
        <v>8100</v>
      </c>
      <c r="I62">
        <v>24</v>
      </c>
      <c r="K62" t="s">
        <v>53</v>
      </c>
      <c r="L62">
        <v>7998</v>
      </c>
      <c r="M62" s="46">
        <v>8334</v>
      </c>
      <c r="N62">
        <v>24</v>
      </c>
      <c r="O62">
        <v>53</v>
      </c>
    </row>
    <row r="63" spans="1:15" x14ac:dyDescent="0.25">
      <c r="A63" t="s">
        <v>58</v>
      </c>
      <c r="B63">
        <v>12430</v>
      </c>
      <c r="C63">
        <v>12925</v>
      </c>
      <c r="D63">
        <v>44</v>
      </c>
      <c r="E63">
        <v>53</v>
      </c>
      <c r="F63" t="s">
        <v>54</v>
      </c>
      <c r="G63">
        <v>9093</v>
      </c>
      <c r="H63" s="46">
        <v>9450</v>
      </c>
      <c r="I63">
        <v>28</v>
      </c>
      <c r="K63" t="s">
        <v>54</v>
      </c>
      <c r="L63">
        <v>9331</v>
      </c>
      <c r="M63" s="46">
        <v>9723</v>
      </c>
      <c r="N63">
        <v>28</v>
      </c>
      <c r="O63">
        <v>53</v>
      </c>
    </row>
    <row r="64" spans="1:15" x14ac:dyDescent="0.25">
      <c r="A64" t="s">
        <v>59</v>
      </c>
      <c r="B64">
        <v>13560</v>
      </c>
      <c r="C64">
        <v>14100</v>
      </c>
      <c r="D64">
        <v>48</v>
      </c>
      <c r="E64">
        <v>53</v>
      </c>
      <c r="F64" t="s">
        <v>55</v>
      </c>
      <c r="G64">
        <v>10392</v>
      </c>
      <c r="H64" s="46">
        <v>10800</v>
      </c>
      <c r="I64">
        <v>32</v>
      </c>
      <c r="K64" t="s">
        <v>55</v>
      </c>
      <c r="L64">
        <v>10664</v>
      </c>
      <c r="M64" s="46">
        <v>11112</v>
      </c>
      <c r="N64">
        <v>32</v>
      </c>
      <c r="O64">
        <v>53</v>
      </c>
    </row>
    <row r="65" spans="1:15" x14ac:dyDescent="0.25">
      <c r="A65" t="s">
        <v>60</v>
      </c>
      <c r="B65">
        <v>14690</v>
      </c>
      <c r="C65">
        <v>15275</v>
      </c>
      <c r="D65">
        <v>52</v>
      </c>
      <c r="E65">
        <v>53</v>
      </c>
      <c r="F65" t="s">
        <v>56</v>
      </c>
      <c r="G65">
        <v>11691</v>
      </c>
      <c r="H65" s="46">
        <v>12150</v>
      </c>
      <c r="I65">
        <v>36</v>
      </c>
      <c r="K65" t="s">
        <v>56</v>
      </c>
      <c r="L65">
        <v>11997</v>
      </c>
      <c r="M65" s="46">
        <v>12501</v>
      </c>
      <c r="N65">
        <v>36</v>
      </c>
      <c r="O65">
        <v>53</v>
      </c>
    </row>
    <row r="66" spans="1:15" x14ac:dyDescent="0.25">
      <c r="A66" t="s">
        <v>61</v>
      </c>
      <c r="B66">
        <v>15820</v>
      </c>
      <c r="C66">
        <v>16450</v>
      </c>
      <c r="D66">
        <v>56</v>
      </c>
      <c r="E66">
        <v>53</v>
      </c>
      <c r="F66" t="s">
        <v>57</v>
      </c>
      <c r="G66">
        <v>12990</v>
      </c>
      <c r="H66" s="46">
        <v>13500</v>
      </c>
      <c r="I66">
        <v>40</v>
      </c>
      <c r="K66" t="s">
        <v>57</v>
      </c>
      <c r="L66">
        <v>13330</v>
      </c>
      <c r="M66" s="46">
        <v>13890</v>
      </c>
      <c r="N66">
        <v>40</v>
      </c>
      <c r="O66">
        <v>53</v>
      </c>
    </row>
    <row r="67" spans="1:15" x14ac:dyDescent="0.25">
      <c r="A67" t="s">
        <v>62</v>
      </c>
      <c r="B67">
        <v>16950</v>
      </c>
      <c r="C67">
        <v>17625</v>
      </c>
      <c r="D67">
        <v>60</v>
      </c>
      <c r="E67">
        <v>53</v>
      </c>
      <c r="F67" t="s">
        <v>58</v>
      </c>
      <c r="G67">
        <v>14289</v>
      </c>
      <c r="H67" s="46">
        <v>14850</v>
      </c>
      <c r="I67">
        <v>44</v>
      </c>
      <c r="K67" t="s">
        <v>58</v>
      </c>
      <c r="L67">
        <v>14663</v>
      </c>
      <c r="M67" s="46">
        <v>15279</v>
      </c>
      <c r="N67">
        <v>44</v>
      </c>
      <c r="O67">
        <v>53</v>
      </c>
    </row>
    <row r="68" spans="1:15" x14ac:dyDescent="0.25">
      <c r="A68" t="s">
        <v>63</v>
      </c>
      <c r="B68">
        <v>18080</v>
      </c>
      <c r="C68">
        <v>18800</v>
      </c>
      <c r="D68">
        <v>64</v>
      </c>
      <c r="E68">
        <v>53</v>
      </c>
      <c r="F68" t="s">
        <v>59</v>
      </c>
      <c r="G68">
        <v>15588</v>
      </c>
      <c r="H68" s="46">
        <v>16200</v>
      </c>
      <c r="I68">
        <v>48</v>
      </c>
      <c r="K68" t="s">
        <v>59</v>
      </c>
      <c r="L68">
        <v>15996</v>
      </c>
      <c r="M68" s="46">
        <v>16668</v>
      </c>
      <c r="N68">
        <v>48</v>
      </c>
      <c r="O68">
        <v>53</v>
      </c>
    </row>
    <row r="69" spans="1:15" x14ac:dyDescent="0.25">
      <c r="A69" t="s">
        <v>64</v>
      </c>
      <c r="B69">
        <v>19210</v>
      </c>
      <c r="C69">
        <v>19975</v>
      </c>
      <c r="D69">
        <v>68</v>
      </c>
      <c r="E69">
        <v>53</v>
      </c>
      <c r="F69" t="s">
        <v>60</v>
      </c>
      <c r="G69">
        <v>16887</v>
      </c>
      <c r="H69" s="46">
        <v>17550</v>
      </c>
      <c r="I69">
        <v>52</v>
      </c>
      <c r="K69" t="s">
        <v>60</v>
      </c>
      <c r="L69">
        <v>17329</v>
      </c>
      <c r="M69" s="46">
        <v>18057</v>
      </c>
      <c r="N69">
        <v>52</v>
      </c>
      <c r="O69">
        <v>53</v>
      </c>
    </row>
    <row r="70" spans="1:15" x14ac:dyDescent="0.25">
      <c r="A70" t="s">
        <v>65</v>
      </c>
      <c r="B70">
        <v>20340</v>
      </c>
      <c r="C70">
        <v>21150</v>
      </c>
      <c r="D70">
        <v>72</v>
      </c>
      <c r="E70">
        <v>53</v>
      </c>
      <c r="F70" t="s">
        <v>61</v>
      </c>
      <c r="G70">
        <v>18186</v>
      </c>
      <c r="H70" s="46">
        <v>18900</v>
      </c>
      <c r="I70">
        <v>56</v>
      </c>
      <c r="K70" t="s">
        <v>61</v>
      </c>
      <c r="L70">
        <v>18662</v>
      </c>
      <c r="M70" s="46">
        <v>19446</v>
      </c>
      <c r="N70">
        <v>56</v>
      </c>
      <c r="O70">
        <v>53</v>
      </c>
    </row>
    <row r="71" spans="1:15" x14ac:dyDescent="0.25">
      <c r="A71" t="s">
        <v>66</v>
      </c>
      <c r="B71">
        <v>21470</v>
      </c>
      <c r="C71">
        <v>22325</v>
      </c>
      <c r="D71">
        <v>76</v>
      </c>
      <c r="E71">
        <v>53</v>
      </c>
      <c r="F71" t="s">
        <v>62</v>
      </c>
      <c r="G71">
        <v>19485</v>
      </c>
      <c r="H71" s="46">
        <v>20250</v>
      </c>
      <c r="I71">
        <v>60</v>
      </c>
      <c r="K71" t="s">
        <v>62</v>
      </c>
      <c r="L71">
        <v>19995</v>
      </c>
      <c r="M71" s="46">
        <v>20835</v>
      </c>
      <c r="N71">
        <v>60</v>
      </c>
      <c r="O71">
        <v>53</v>
      </c>
    </row>
    <row r="72" spans="1:15" x14ac:dyDescent="0.25">
      <c r="A72" t="s">
        <v>67</v>
      </c>
      <c r="B72">
        <v>22600</v>
      </c>
      <c r="C72">
        <v>23500</v>
      </c>
      <c r="D72">
        <v>80</v>
      </c>
      <c r="E72">
        <v>53</v>
      </c>
      <c r="F72" t="s">
        <v>63</v>
      </c>
      <c r="G72">
        <v>20784</v>
      </c>
      <c r="H72" s="46">
        <v>21600</v>
      </c>
      <c r="I72">
        <v>64</v>
      </c>
      <c r="K72" t="s">
        <v>63</v>
      </c>
      <c r="L72">
        <v>21328</v>
      </c>
      <c r="M72" s="46">
        <v>22224</v>
      </c>
      <c r="N72">
        <v>64</v>
      </c>
      <c r="O72">
        <v>53</v>
      </c>
    </row>
    <row r="73" spans="1:15" x14ac:dyDescent="0.25">
      <c r="F73" t="s">
        <v>64</v>
      </c>
      <c r="G73">
        <v>22083</v>
      </c>
      <c r="H73" s="46">
        <v>22950</v>
      </c>
      <c r="I73">
        <v>68</v>
      </c>
      <c r="K73" t="s">
        <v>64</v>
      </c>
      <c r="L73">
        <v>22661</v>
      </c>
      <c r="M73" s="46">
        <v>23613</v>
      </c>
      <c r="N73">
        <v>68</v>
      </c>
      <c r="O73">
        <v>53</v>
      </c>
    </row>
    <row r="74" spans="1:15" x14ac:dyDescent="0.25">
      <c r="F74" t="s">
        <v>65</v>
      </c>
      <c r="G74">
        <v>23382</v>
      </c>
      <c r="H74" s="46">
        <v>24300</v>
      </c>
      <c r="I74">
        <v>72</v>
      </c>
      <c r="K74" t="s">
        <v>65</v>
      </c>
      <c r="L74">
        <v>23994</v>
      </c>
      <c r="M74" s="46">
        <v>25002</v>
      </c>
      <c r="N74">
        <v>72</v>
      </c>
      <c r="O74">
        <v>53</v>
      </c>
    </row>
    <row r="75" spans="1:15" x14ac:dyDescent="0.25">
      <c r="A75" t="s">
        <v>48</v>
      </c>
      <c r="F75" t="s">
        <v>66</v>
      </c>
      <c r="G75">
        <v>24681</v>
      </c>
      <c r="H75" s="46">
        <v>25650</v>
      </c>
      <c r="I75">
        <v>76</v>
      </c>
      <c r="K75" t="s">
        <v>66</v>
      </c>
      <c r="L75">
        <v>25327</v>
      </c>
      <c r="M75" s="46">
        <v>26391</v>
      </c>
      <c r="N75">
        <v>76</v>
      </c>
      <c r="O75">
        <v>53</v>
      </c>
    </row>
    <row r="76" spans="1:15" x14ac:dyDescent="0.25">
      <c r="A76" t="s">
        <v>79</v>
      </c>
      <c r="F76" t="s">
        <v>67</v>
      </c>
      <c r="G76">
        <v>25980</v>
      </c>
      <c r="H76" s="46">
        <v>27000</v>
      </c>
      <c r="I76">
        <v>80</v>
      </c>
      <c r="K76" t="s">
        <v>67</v>
      </c>
      <c r="L76">
        <v>26660</v>
      </c>
      <c r="M76" s="46">
        <v>27780</v>
      </c>
      <c r="N76">
        <v>80</v>
      </c>
      <c r="O76">
        <v>53</v>
      </c>
    </row>
    <row r="77" spans="1:15" x14ac:dyDescent="0.25">
      <c r="A77" t="s">
        <v>70</v>
      </c>
    </row>
    <row r="78" spans="1:15" x14ac:dyDescent="0.25">
      <c r="A78" t="s">
        <v>80</v>
      </c>
      <c r="F78" s="12"/>
      <c r="G78" s="12"/>
      <c r="H78" s="12"/>
    </row>
    <row r="79" spans="1:15" x14ac:dyDescent="0.25">
      <c r="A79" t="s">
        <v>32</v>
      </c>
      <c r="F79" s="46"/>
    </row>
    <row r="80" spans="1:15" x14ac:dyDescent="0.25">
      <c r="A80" t="s">
        <v>33</v>
      </c>
    </row>
    <row r="81" spans="1:1" x14ac:dyDescent="0.25">
      <c r="A81" t="s">
        <v>34</v>
      </c>
    </row>
    <row r="82" spans="1:1" x14ac:dyDescent="0.25">
      <c r="A82" t="s">
        <v>35</v>
      </c>
    </row>
  </sheetData>
  <sheetProtection sheet="1" objects="1" scenarios="1" selectLockedCells="1" selectUnlockedCells="1"/>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0" workbookViewId="0">
      <selection activeCell="C21" sqref="C20:C21"/>
    </sheetView>
  </sheetViews>
  <sheetFormatPr defaultRowHeight="15" x14ac:dyDescent="0.25"/>
  <cols>
    <col min="1" max="1" width="13.28515625" customWidth="1"/>
  </cols>
  <sheetData>
    <row r="1" spans="1:5" x14ac:dyDescent="0.25">
      <c r="A1" t="s">
        <v>71</v>
      </c>
      <c r="B1">
        <v>0</v>
      </c>
      <c r="C1">
        <v>0</v>
      </c>
      <c r="D1">
        <v>0</v>
      </c>
      <c r="E1">
        <v>0</v>
      </c>
    </row>
    <row r="2" spans="1:5" x14ac:dyDescent="0.25">
      <c r="A2" t="s">
        <v>51</v>
      </c>
      <c r="B2">
        <v>7012</v>
      </c>
      <c r="C2">
        <v>16</v>
      </c>
      <c r="D2">
        <v>27</v>
      </c>
      <c r="E2">
        <v>65</v>
      </c>
    </row>
    <row r="3" spans="1:5" x14ac:dyDescent="0.25">
      <c r="A3" t="s">
        <v>52</v>
      </c>
      <c r="B3">
        <v>8765</v>
      </c>
      <c r="C3">
        <v>20</v>
      </c>
      <c r="D3">
        <v>27</v>
      </c>
      <c r="E3">
        <v>65</v>
      </c>
    </row>
    <row r="4" spans="1:5" x14ac:dyDescent="0.25">
      <c r="A4" t="s">
        <v>53</v>
      </c>
      <c r="B4">
        <v>10518</v>
      </c>
      <c r="C4">
        <v>24</v>
      </c>
      <c r="D4">
        <v>27</v>
      </c>
      <c r="E4">
        <v>65</v>
      </c>
    </row>
    <row r="5" spans="1:5" x14ac:dyDescent="0.25">
      <c r="A5" t="s">
        <v>54</v>
      </c>
      <c r="B5">
        <v>12271</v>
      </c>
      <c r="C5">
        <v>28</v>
      </c>
      <c r="D5">
        <v>27</v>
      </c>
      <c r="E5">
        <v>65</v>
      </c>
    </row>
    <row r="6" spans="1:5" x14ac:dyDescent="0.25">
      <c r="A6" t="s">
        <v>55</v>
      </c>
      <c r="B6">
        <v>14024</v>
      </c>
      <c r="C6">
        <v>32</v>
      </c>
      <c r="D6">
        <v>27</v>
      </c>
      <c r="E6">
        <v>65</v>
      </c>
    </row>
    <row r="7" spans="1:5" x14ac:dyDescent="0.25">
      <c r="A7" t="s">
        <v>56</v>
      </c>
      <c r="B7">
        <v>15777</v>
      </c>
      <c r="C7">
        <v>36</v>
      </c>
      <c r="D7">
        <v>27</v>
      </c>
      <c r="E7">
        <v>65</v>
      </c>
    </row>
    <row r="8" spans="1:5" x14ac:dyDescent="0.25">
      <c r="A8" t="s">
        <v>57</v>
      </c>
      <c r="B8">
        <v>17530</v>
      </c>
      <c r="C8">
        <v>40</v>
      </c>
      <c r="D8">
        <v>27</v>
      </c>
      <c r="E8">
        <v>65</v>
      </c>
    </row>
    <row r="9" spans="1:5" x14ac:dyDescent="0.25">
      <c r="A9" t="s">
        <v>58</v>
      </c>
      <c r="B9">
        <v>19283</v>
      </c>
      <c r="C9">
        <v>44</v>
      </c>
      <c r="D9">
        <v>27</v>
      </c>
      <c r="E9">
        <v>65</v>
      </c>
    </row>
    <row r="10" spans="1:5" x14ac:dyDescent="0.25">
      <c r="A10" t="s">
        <v>59</v>
      </c>
      <c r="B10">
        <v>21036</v>
      </c>
      <c r="C10">
        <v>48</v>
      </c>
      <c r="D10">
        <v>41</v>
      </c>
      <c r="E10">
        <v>65</v>
      </c>
    </row>
    <row r="11" spans="1:5" x14ac:dyDescent="0.25">
      <c r="A11" t="s">
        <v>60</v>
      </c>
      <c r="B11">
        <v>22789</v>
      </c>
      <c r="C11">
        <v>52</v>
      </c>
      <c r="D11">
        <v>41</v>
      </c>
      <c r="E11">
        <v>65</v>
      </c>
    </row>
    <row r="12" spans="1:5" x14ac:dyDescent="0.25">
      <c r="A12" t="s">
        <v>61</v>
      </c>
      <c r="B12">
        <v>24542</v>
      </c>
      <c r="C12">
        <v>56</v>
      </c>
      <c r="D12">
        <v>41</v>
      </c>
      <c r="E12">
        <v>65</v>
      </c>
    </row>
    <row r="13" spans="1:5" x14ac:dyDescent="0.25">
      <c r="A13" t="s">
        <v>62</v>
      </c>
      <c r="B13">
        <v>26295</v>
      </c>
      <c r="C13">
        <v>60</v>
      </c>
      <c r="D13">
        <v>41</v>
      </c>
      <c r="E13">
        <v>65</v>
      </c>
    </row>
    <row r="14" spans="1:5" x14ac:dyDescent="0.25">
      <c r="A14" t="s">
        <v>63</v>
      </c>
      <c r="B14">
        <v>28048</v>
      </c>
      <c r="C14">
        <v>64</v>
      </c>
      <c r="D14">
        <v>41</v>
      </c>
      <c r="E14">
        <v>65</v>
      </c>
    </row>
    <row r="15" spans="1:5" x14ac:dyDescent="0.25">
      <c r="A15" t="s">
        <v>64</v>
      </c>
      <c r="B15">
        <v>29801</v>
      </c>
      <c r="C15">
        <v>68</v>
      </c>
      <c r="D15">
        <v>41</v>
      </c>
      <c r="E15">
        <v>65</v>
      </c>
    </row>
    <row r="16" spans="1:5" x14ac:dyDescent="0.25">
      <c r="A16" t="s">
        <v>65</v>
      </c>
      <c r="B16">
        <v>31554</v>
      </c>
      <c r="C16">
        <v>72</v>
      </c>
      <c r="D16">
        <v>41</v>
      </c>
      <c r="E16">
        <v>65</v>
      </c>
    </row>
    <row r="17" spans="1:5" x14ac:dyDescent="0.25">
      <c r="A17" t="s">
        <v>66</v>
      </c>
      <c r="B17">
        <v>33307</v>
      </c>
      <c r="C17">
        <v>76</v>
      </c>
      <c r="D17">
        <v>41</v>
      </c>
      <c r="E17">
        <v>65</v>
      </c>
    </row>
    <row r="18" spans="1:5" x14ac:dyDescent="0.25">
      <c r="A18" t="s">
        <v>67</v>
      </c>
      <c r="B18">
        <v>35060</v>
      </c>
      <c r="C18">
        <v>80</v>
      </c>
      <c r="D18">
        <v>41</v>
      </c>
      <c r="E18">
        <v>65</v>
      </c>
    </row>
    <row r="21" spans="1:5" x14ac:dyDescent="0.25">
      <c r="A21" t="s">
        <v>4</v>
      </c>
      <c r="B21">
        <v>1575</v>
      </c>
      <c r="C21">
        <v>300</v>
      </c>
    </row>
    <row r="22" spans="1:5" x14ac:dyDescent="0.25">
      <c r="A22" t="s">
        <v>5</v>
      </c>
      <c r="B22">
        <v>0</v>
      </c>
      <c r="C22">
        <v>0</v>
      </c>
    </row>
    <row r="24" spans="1:5" x14ac:dyDescent="0.25">
      <c r="A24" t="s">
        <v>4</v>
      </c>
      <c r="B24">
        <v>90</v>
      </c>
    </row>
    <row r="25" spans="1:5" x14ac:dyDescent="0.25">
      <c r="A25" t="s">
        <v>5</v>
      </c>
      <c r="B25">
        <v>0</v>
      </c>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showRowColHeaders="0" showRuler="0" zoomScaleNormal="100" workbookViewId="0">
      <selection activeCell="I6" sqref="I6"/>
    </sheetView>
  </sheetViews>
  <sheetFormatPr defaultRowHeight="15" x14ac:dyDescent="0.25"/>
  <cols>
    <col min="1" max="1" width="4.140625" customWidth="1"/>
    <col min="4" max="4" width="26.42578125" customWidth="1"/>
    <col min="5" max="5" width="11.5703125" bestFit="1" customWidth="1"/>
    <col min="7" max="7" width="13.140625" style="6" customWidth="1"/>
    <col min="8" max="8" width="4.7109375" customWidth="1"/>
    <col min="9" max="9" width="13.5703125" style="6" customWidth="1"/>
    <col min="10" max="10" width="4.7109375" customWidth="1"/>
    <col min="11" max="11" width="13.5703125" style="6" customWidth="1"/>
    <col min="12" max="12" width="4.7109375" style="6" customWidth="1"/>
    <col min="13" max="13" width="13.5703125" style="6" customWidth="1"/>
    <col min="14" max="14" width="3.5703125" customWidth="1"/>
  </cols>
  <sheetData>
    <row r="1" spans="2:14" ht="17.25" customHeight="1" x14ac:dyDescent="0.25"/>
    <row r="2" spans="2:14" ht="47.25" customHeight="1" x14ac:dyDescent="0.25">
      <c r="G2" s="87" t="s">
        <v>96</v>
      </c>
      <c r="H2" s="88"/>
      <c r="I2" s="88"/>
      <c r="J2" s="88"/>
      <c r="K2" s="88"/>
      <c r="L2" s="88"/>
      <c r="M2" s="88"/>
      <c r="N2" s="88"/>
    </row>
    <row r="3" spans="2:14" ht="8.25" customHeight="1" x14ac:dyDescent="0.25">
      <c r="B3" s="24"/>
      <c r="C3" s="24"/>
      <c r="D3" s="24"/>
      <c r="E3" s="24"/>
      <c r="F3" s="24"/>
      <c r="G3" s="25"/>
      <c r="H3" s="26"/>
      <c r="I3" s="26"/>
      <c r="J3" s="26"/>
      <c r="K3" s="26"/>
      <c r="L3" s="26"/>
      <c r="M3" s="26"/>
      <c r="N3" s="26"/>
    </row>
    <row r="4" spans="2:14" ht="66.75" customHeight="1" x14ac:dyDescent="0.25">
      <c r="B4" s="86" t="s">
        <v>46</v>
      </c>
      <c r="C4" s="86"/>
      <c r="D4" s="86"/>
      <c r="E4" s="86"/>
      <c r="F4" s="86"/>
      <c r="G4" s="86"/>
      <c r="H4" s="86"/>
      <c r="I4" s="86"/>
      <c r="J4" s="86"/>
      <c r="K4" s="86"/>
      <c r="L4" s="86"/>
      <c r="M4" s="86"/>
      <c r="N4" s="86"/>
    </row>
    <row r="5" spans="2:14" ht="19.5" customHeight="1" x14ac:dyDescent="0.25">
      <c r="I5" s="75" t="s">
        <v>137</v>
      </c>
      <c r="K5" s="75" t="s">
        <v>138</v>
      </c>
      <c r="M5" s="75" t="s">
        <v>139</v>
      </c>
    </row>
    <row r="6" spans="2:14" ht="18" customHeight="1" x14ac:dyDescent="0.3">
      <c r="C6" s="8" t="s">
        <v>15</v>
      </c>
      <c r="D6" s="7"/>
      <c r="E6" s="7"/>
      <c r="F6" s="7"/>
      <c r="G6" s="7"/>
      <c r="H6" s="7"/>
      <c r="I6" s="74"/>
      <c r="K6" s="74"/>
      <c r="L6" s="27"/>
      <c r="M6" s="74"/>
      <c r="N6" s="7"/>
    </row>
    <row r="7" spans="2:14" ht="6" customHeight="1" x14ac:dyDescent="0.25"/>
    <row r="8" spans="2:14" ht="15.75" thickBot="1" x14ac:dyDescent="0.3">
      <c r="B8" s="1" t="s">
        <v>7</v>
      </c>
      <c r="C8" s="2"/>
      <c r="D8" s="2"/>
      <c r="E8" s="2"/>
      <c r="F8" s="2"/>
      <c r="G8" s="5" t="s">
        <v>3</v>
      </c>
      <c r="H8" s="4"/>
      <c r="I8" s="5" t="s">
        <v>93</v>
      </c>
      <c r="J8" s="4"/>
      <c r="K8" s="5" t="s">
        <v>94</v>
      </c>
      <c r="L8" s="5"/>
      <c r="M8" s="5" t="s">
        <v>95</v>
      </c>
      <c r="N8" s="2"/>
    </row>
    <row r="9" spans="2:14" ht="9" customHeight="1" x14ac:dyDescent="0.25"/>
    <row r="10" spans="2:14" ht="21.75" customHeight="1" x14ac:dyDescent="0.25">
      <c r="B10" s="14" t="s">
        <v>1</v>
      </c>
      <c r="C10" s="89"/>
      <c r="D10" s="89"/>
      <c r="E10" s="15"/>
      <c r="F10" s="15"/>
      <c r="G10" s="16" t="e">
        <f>I10+K10+M10</f>
        <v>#N/A</v>
      </c>
      <c r="H10" s="15"/>
      <c r="I10" s="16" t="e">
        <f>VLOOKUP(I6, Data!A2:C21, 2, FALSE)</f>
        <v>#N/A</v>
      </c>
      <c r="J10" s="15"/>
      <c r="K10" s="16" t="e">
        <f>VLOOKUP(K6, Data!A2:C21, 2, FALSE)</f>
        <v>#N/A</v>
      </c>
      <c r="L10" s="16"/>
      <c r="M10" s="16" t="e">
        <f>VLOOKUP(M6, Data!A2:C21, 2, FALSE)</f>
        <v>#N/A</v>
      </c>
      <c r="N10" s="15"/>
    </row>
    <row r="11" spans="2:14" ht="21.75" customHeight="1" x14ac:dyDescent="0.25">
      <c r="B11" s="11" t="s">
        <v>0</v>
      </c>
    </row>
    <row r="12" spans="2:14" ht="21.75" customHeight="1" x14ac:dyDescent="0.25">
      <c r="B12" s="17" t="s">
        <v>2</v>
      </c>
      <c r="C12" s="15"/>
      <c r="D12" s="15"/>
      <c r="E12" s="15"/>
      <c r="F12" s="15"/>
      <c r="G12" s="16" t="e">
        <f>I12+K12+M12</f>
        <v>#N/A</v>
      </c>
      <c r="H12" s="15"/>
      <c r="I12" s="16" t="e">
        <f>VLOOKUP(I6, Data!A2:C21, 3, FALSE)</f>
        <v>#N/A</v>
      </c>
      <c r="J12" s="15"/>
      <c r="K12" s="16" t="e">
        <f>VLOOKUP(K6, Data!A2:C21, 3, FALSE)</f>
        <v>#N/A</v>
      </c>
      <c r="L12" s="16"/>
      <c r="M12" s="16" t="e">
        <f>VLOOKUP(M6, Data!A2:C21, 3, FALSE)</f>
        <v>#N/A</v>
      </c>
      <c r="N12" s="15"/>
    </row>
    <row r="13" spans="2:14" ht="21.75" customHeight="1" x14ac:dyDescent="0.25">
      <c r="B13" s="3" t="s">
        <v>19</v>
      </c>
      <c r="G13" s="6" t="e">
        <f>I13+K13+M13</f>
        <v>#N/A</v>
      </c>
      <c r="I13" s="6" t="e">
        <f>VLOOKUP(I6, Data!A2:D21, 4, FALSE)</f>
        <v>#N/A</v>
      </c>
      <c r="K13" s="6" t="e">
        <f>VLOOKUP(K6, Data!A2:D21, 4, FALSE)</f>
        <v>#N/A</v>
      </c>
      <c r="M13" s="6" t="e">
        <f>VLOOKUP(M6, Data!A2:D21, 4, FALSE)</f>
        <v>#N/A</v>
      </c>
    </row>
    <row r="14" spans="2:14" ht="21.75" customHeight="1" x14ac:dyDescent="0.25">
      <c r="B14" s="102" t="s">
        <v>154</v>
      </c>
      <c r="C14" s="102"/>
      <c r="D14" s="103"/>
      <c r="E14" s="38"/>
      <c r="F14" s="36"/>
      <c r="G14" s="37">
        <f>I14+K14+M14</f>
        <v>0</v>
      </c>
      <c r="H14" s="36"/>
      <c r="I14" s="37">
        <f>IF(AND(E14="Yes", I6&lt;&gt;"not enrolled"), (VLOOKUP(E14, Data!A24:C25, 2, FALSE)), 0)</f>
        <v>0</v>
      </c>
      <c r="J14" s="36"/>
      <c r="K14" s="37">
        <v>0</v>
      </c>
      <c r="L14" s="37"/>
      <c r="M14" s="37">
        <f>IF(AND(E14="Yes", M6&lt;&gt;"not enrolled"), (VLOOKUP(E14, Data!A24:C25, 2, FALSE)), 0)</f>
        <v>0</v>
      </c>
      <c r="N14" s="36"/>
    </row>
    <row r="15" spans="2:14" s="32" customFormat="1" ht="21.75" customHeight="1" x14ac:dyDescent="0.25">
      <c r="B15" s="104" t="s">
        <v>153</v>
      </c>
      <c r="C15" s="104"/>
      <c r="D15" s="105"/>
      <c r="E15" s="101"/>
      <c r="F15" s="39"/>
      <c r="G15" s="40">
        <f>I15+K15+M15</f>
        <v>0</v>
      </c>
      <c r="H15" s="39"/>
      <c r="I15" s="40">
        <f>IF(AND(E15="Yes", I6&lt;&gt;"not enrolled"), (VLOOKUP(E15, Data!A24:C25, 3, FALSE)), 0)</f>
        <v>0</v>
      </c>
      <c r="J15" s="39"/>
      <c r="K15" s="40">
        <f>IF(AND(E15="Yes", K6&lt;&gt;"not enrolled"), (VLOOKUP(E15, Data!A24:C25, 3, FALSE)), 0)</f>
        <v>0</v>
      </c>
      <c r="L15" s="40"/>
      <c r="M15" s="40">
        <f>IF(AND(E15="Yes", M6&lt;&gt;"not enrolled"), (VLOOKUP(E15, Data!A24:C25, 3, FALSE)), 0)</f>
        <v>0</v>
      </c>
      <c r="N15" s="39"/>
    </row>
    <row r="16" spans="2:14" ht="21.75" customHeight="1" x14ac:dyDescent="0.25">
      <c r="C16" s="12" t="s">
        <v>6</v>
      </c>
      <c r="G16" s="13" t="e">
        <f>SUM(G10, G12:G15)</f>
        <v>#N/A</v>
      </c>
      <c r="I16" s="13" t="e">
        <f>SUM(I10,I12:I15)</f>
        <v>#N/A</v>
      </c>
      <c r="K16" s="13" t="e">
        <f>SUM(K10,K12:K15)</f>
        <v>#N/A</v>
      </c>
      <c r="L16" s="13"/>
      <c r="M16" s="13" t="e">
        <f>SUM(M10,M12:M15)</f>
        <v>#N/A</v>
      </c>
    </row>
    <row r="17" spans="2:14" ht="24" customHeight="1" x14ac:dyDescent="0.25"/>
    <row r="18" spans="2:14" ht="15.75" thickBot="1" x14ac:dyDescent="0.3">
      <c r="B18" s="1" t="s">
        <v>11</v>
      </c>
      <c r="C18" s="2"/>
      <c r="D18" s="2"/>
      <c r="E18" s="2"/>
      <c r="F18" s="2"/>
      <c r="G18" s="5" t="s">
        <v>3</v>
      </c>
      <c r="H18" s="4"/>
      <c r="I18" s="5" t="s">
        <v>93</v>
      </c>
      <c r="J18" s="4"/>
      <c r="K18" s="5" t="s">
        <v>94</v>
      </c>
      <c r="L18" s="5"/>
      <c r="M18" s="5" t="s">
        <v>95</v>
      </c>
      <c r="N18" s="2"/>
    </row>
    <row r="19" spans="2:14" ht="21.75" customHeight="1" x14ac:dyDescent="0.25">
      <c r="B19" t="s">
        <v>16</v>
      </c>
      <c r="G19" s="20"/>
      <c r="I19" s="6">
        <f>IF((AND(I6&lt;&gt;"not enrolled", K6&lt;&gt;"not enrolled", M6&lt;&gt;"not enrolled")), (G19/3), IF((AND(I6&lt;&gt;"not enrolled", K6&lt;&gt;"not enrolled", M6="not enrolled")), (G19/2), IF((AND(I6&lt;&gt;"not enrolled", K6="not enrolled", M6="not enrolled")), (G19/1), 0)))</f>
        <v>0</v>
      </c>
      <c r="K19" s="6">
        <f>IF((AND(I6&lt;&gt;"not enrolled", K6&lt;&gt;"not enrolled", M6&lt;&gt;"not enrolled")), (G19/3), IF((AND(I6&lt;&gt;"not enrolled", K6&lt;&gt;"not enrolled", M6="not enrolled")), (G19/2), IF((AND(I6="not enrolled", K6&lt;&gt;"not enrolled", M6&lt;&gt;"not enrolled")), (G19/2), 0)))</f>
        <v>0</v>
      </c>
      <c r="M19" s="6">
        <f>IF((AND(I6&lt;&gt;"not enrolled", K6&lt;&gt;"not enrolled", M6&lt;&gt;"not enrolled")), (G19/3), IF((AND(I6="not enrolled", K6&lt;&gt;"not enrolled", M6&lt;&gt;"not enrolled")), (G19/2), IF((AND(I6="not enrolled", K6="not enrolled", M6&lt;&gt;"not enrolled")), (G19), 0)))</f>
        <v>0</v>
      </c>
    </row>
    <row r="20" spans="2:14" ht="21.75" customHeight="1" x14ac:dyDescent="0.25">
      <c r="B20" s="15" t="s">
        <v>8</v>
      </c>
      <c r="C20" s="15"/>
      <c r="D20" s="15"/>
      <c r="E20" s="15"/>
      <c r="F20" s="15"/>
      <c r="G20" s="21"/>
      <c r="H20" s="15"/>
      <c r="I20" s="16">
        <f>IF((AND(I6&lt;&gt;"not enrolled", K6&lt;&gt;"not enrolled", M6&lt;&gt;"not enrolled")), (G20/3), IF((AND(I6&lt;&gt;"not enrolled", K6&lt;&gt;"not enrolled", M6="not enrolled")), (G20/2), IF((AND(I6&lt;&gt;"not enrolled", K6="not enrolled", M6="not enrolled")), (G20/1), 0)))</f>
        <v>0</v>
      </c>
      <c r="J20" s="15"/>
      <c r="K20" s="16">
        <f>IF((AND(I6&lt;&gt;"not enrolled", K6&lt;&gt;"not enrolled", M6&lt;&gt;"not enrolled")), (G20/3), IF((AND(I6&lt;&gt;"not enrolled", K6&lt;&gt;"not enrolled", M6="not enrolled")), (G20/2), IF((AND(I6="not enrolled", K6&lt;&gt;"not enrolled", M6&lt;&gt;"not enrolled")), (G20/2), 0)))</f>
        <v>0</v>
      </c>
      <c r="L20" s="16"/>
      <c r="M20" s="16">
        <f>IF((AND(I6&lt;&gt;"not enrolled", K6&lt;&gt;"not enrolled", M6&lt;&gt;"not enrolled")), (G20/3), IF((AND(I6="not enrolled", K6&lt;&gt;"not enrolled", M6&lt;&gt;"not enrolled")), (G20/2), IF((AND(I6="not enrolled", K6="not enrolled", M6&lt;&gt;"not enrolled")), (G20), 0)))</f>
        <v>0</v>
      </c>
      <c r="N20" s="15"/>
    </row>
    <row r="21" spans="2:14" ht="21.75" customHeight="1" x14ac:dyDescent="0.25">
      <c r="B21" t="s">
        <v>21</v>
      </c>
      <c r="E21" s="22"/>
      <c r="G21" s="6">
        <f>E21-(E21*0.01062)</f>
        <v>0</v>
      </c>
      <c r="I21" s="6">
        <f>IF((AND(I6&lt;&gt;"not enrolled", K6&lt;&gt;"not enrolled", M6&lt;&gt;"not enrolled")), (G21/3), IF((AND(I6&lt;&gt;"not enrolled", K6&lt;&gt;"not enrolled", M6="not enrolled")), (G21/2), IF((AND(I6&lt;&gt;"not enrolled", K6="not enrolled", M6="not enrolled")), (G21/1), 0)))</f>
        <v>0</v>
      </c>
      <c r="K21" s="6">
        <f>IF((AND(I6&lt;&gt;"not enrolled", K6&lt;&gt;"not enrolled", M6&lt;&gt;"not enrolled")), (G21/3), IF((AND(I6&lt;&gt;"not enrolled", K6&lt;&gt;"not enrolled", M6="not enrolled")), (G21/2), IF((AND(I6="not enrolled", K6&lt;&gt;"not enrolled", M6&lt;&gt;"not enrolled")), (G21/2), 0)))</f>
        <v>0</v>
      </c>
      <c r="M21" s="6">
        <f>IF((AND(I6&lt;&gt;"not enrolled", K6&lt;&gt;"not enrolled", M6&lt;&gt;"not enrolled")), (G21/3), IF((AND(I6="not enrolled", K6&lt;&gt;"not enrolled", M6&lt;&gt;"not enrolled")), (G21/2), IF((AND(I6="not enrolled", K6="not enrolled", M6&lt;&gt;"not enrolled")), (G21), 0)))</f>
        <v>0</v>
      </c>
    </row>
    <row r="22" spans="2:14" ht="21.75" customHeight="1" x14ac:dyDescent="0.25">
      <c r="B22" s="15" t="s">
        <v>22</v>
      </c>
      <c r="C22" s="15"/>
      <c r="D22" s="15"/>
      <c r="E22" s="22"/>
      <c r="F22" s="15"/>
      <c r="G22" s="16">
        <f>E22-(E22*0.04248)</f>
        <v>0</v>
      </c>
      <c r="H22" s="15"/>
      <c r="I22" s="16">
        <f>IF((AND(I6&lt;&gt;"not enrolled", K6&lt;&gt;"not enrolled", M6&lt;&gt;"not enrolled")), (G22/3), IF((AND(I6&lt;&gt;"not enrolled", K6&lt;&gt;"not enrolled", M6="not enrolled")), (G22/2), IF((AND(I6&lt;&gt;"not enrolled", K6="not enrolled", M6="not enrolled")), (G22/1), 0)))</f>
        <v>0</v>
      </c>
      <c r="J22" s="15"/>
      <c r="K22" s="16">
        <f>IF((AND(I6&lt;&gt;"not enrolled", K6&lt;&gt;"not enrolled", M6&lt;&gt;"not enrolled")), (G22/3), IF((AND(I6&lt;&gt;"not enrolled", K6&lt;&gt;"not enrolled", M6="not enrolled")), (G22/2), IF((AND(I6="not enrolled", K6&lt;&gt;"not enrolled", M6&lt;&gt;"not enrolled")), (G22/2), 0)))</f>
        <v>0</v>
      </c>
      <c r="L22" s="16"/>
      <c r="M22" s="16">
        <f>IF((AND(I6&lt;&gt;"not enrolled", K6&lt;&gt;"not enrolled", M6&lt;&gt;"not enrolled")), (G22/3), IF((AND(I6="not enrolled", K6&lt;&gt;"not enrolled", M6&lt;&gt;"not enrolled")), (G22/2), IF((AND(I6="not enrolled", K6="not enrolled", M6&lt;&gt;"not enrolled")), (G22), 0)))</f>
        <v>0</v>
      </c>
      <c r="N22" s="15"/>
    </row>
    <row r="23" spans="2:14" ht="21.75" customHeight="1" x14ac:dyDescent="0.25">
      <c r="B23" s="91" t="s">
        <v>43</v>
      </c>
      <c r="C23" s="91"/>
      <c r="D23" s="91"/>
      <c r="E23" s="91"/>
      <c r="G23" s="21"/>
      <c r="I23" s="6">
        <f>IF((AND(I6&lt;&gt;"not enrolled", K6&lt;&gt;"not enrolled", M6&lt;&gt;"not enrolled")), (G23/3), IF((AND(I6&lt;&gt;"not enrolled", K6&lt;&gt;"not enrolled", M6="not enrolled")), (G23/2), IF((AND(I6&lt;&gt;"not enrolled", K6="not enrolled", M6="not enrolled")), (G23/1), 0)))</f>
        <v>0</v>
      </c>
      <c r="K23" s="6">
        <f>IF((AND(I6&lt;&gt;"not enrolled", K6&lt;&gt;"not enrolled", M6&lt;&gt;"not enrolled")), (G23/3), IF((AND(I6&lt;&gt;"not enrolled", K6&lt;&gt;"not enrolled", M6="not enrolled")), (G23/2), IF((AND(I6="not enrolled", K6&lt;&gt;"not enrolled", M6&lt;&gt;"not enrolled")), (G23/2), 0)))</f>
        <v>0</v>
      </c>
      <c r="M23" s="6">
        <f>IF((AND(I6&lt;&gt;"not enrolled", K6&lt;&gt;"not enrolled", M6&lt;&gt;"not enrolled")), (G23/3), IF((AND(I6="not enrolled", K6&lt;&gt;"not enrolled", M6&lt;&gt;"not enrolled")), (G23/2), IF((AND(I6="not enrolled", K6="not enrolled", M6&lt;&gt;"not enrolled")), (G23), 0)))</f>
        <v>0</v>
      </c>
    </row>
    <row r="24" spans="2:14" ht="21.75" customHeight="1" x14ac:dyDescent="0.25">
      <c r="B24" s="92" t="s">
        <v>44</v>
      </c>
      <c r="C24" s="92"/>
      <c r="D24" s="92"/>
      <c r="E24" s="92"/>
      <c r="F24" s="92"/>
      <c r="G24" s="34">
        <f>I24+K24+M24</f>
        <v>0</v>
      </c>
      <c r="H24" s="33"/>
      <c r="I24" s="23"/>
      <c r="J24" s="33"/>
      <c r="K24" s="23"/>
      <c r="L24" s="41"/>
      <c r="M24" s="29"/>
      <c r="N24" s="33"/>
    </row>
    <row r="25" spans="2:14" ht="21.75" customHeight="1" x14ac:dyDescent="0.25">
      <c r="C25" s="12" t="s">
        <v>10</v>
      </c>
      <c r="G25" s="6">
        <f>SUM(G19:G24)</f>
        <v>0</v>
      </c>
      <c r="I25" s="6">
        <f>SUM(I19:I24)</f>
        <v>0</v>
      </c>
      <c r="K25" s="6">
        <f>SUM(K19:K23,K24)</f>
        <v>0</v>
      </c>
      <c r="M25" s="6">
        <f>SUM(M19:M23,M24)</f>
        <v>0</v>
      </c>
    </row>
    <row r="26" spans="2:14" ht="15.75" thickBot="1" x14ac:dyDescent="0.3"/>
    <row r="27" spans="2:14" ht="21.75" customHeight="1" thickTop="1" thickBot="1" x14ac:dyDescent="0.35">
      <c r="B27" s="19" t="s">
        <v>12</v>
      </c>
      <c r="C27" s="18"/>
      <c r="D27" s="18"/>
      <c r="E27" s="18"/>
      <c r="F27" s="18"/>
      <c r="G27" s="30" t="e">
        <f>G16-G25</f>
        <v>#N/A</v>
      </c>
      <c r="H27" s="31"/>
      <c r="I27" s="30" t="e">
        <f>I16-I25</f>
        <v>#N/A</v>
      </c>
      <c r="J27" s="31"/>
      <c r="K27" s="30" t="e">
        <f>K16-K25</f>
        <v>#N/A</v>
      </c>
      <c r="L27" s="30"/>
      <c r="M27" s="30" t="e">
        <f>M16-M25</f>
        <v>#N/A</v>
      </c>
      <c r="N27" s="18"/>
    </row>
    <row r="28" spans="2:14" ht="15.75" thickTop="1" x14ac:dyDescent="0.25"/>
    <row r="29" spans="2:14" x14ac:dyDescent="0.25">
      <c r="B29" s="12" t="s">
        <v>13</v>
      </c>
    </row>
    <row r="30" spans="2:14" ht="36.75" customHeight="1" x14ac:dyDescent="0.25">
      <c r="B30" s="90" t="s">
        <v>24</v>
      </c>
      <c r="C30" s="90"/>
      <c r="D30" s="90"/>
      <c r="E30" s="90"/>
      <c r="F30" s="90"/>
      <c r="G30" s="90"/>
      <c r="H30" s="90"/>
      <c r="I30" s="90"/>
      <c r="J30" s="90"/>
      <c r="K30" s="90"/>
      <c r="L30" s="90"/>
      <c r="M30" s="90"/>
      <c r="N30" s="90"/>
    </row>
    <row r="31" spans="2:14" ht="21.75" customHeight="1" x14ac:dyDescent="0.25">
      <c r="B31" s="91" t="s">
        <v>20</v>
      </c>
      <c r="C31" s="91"/>
      <c r="D31" s="91"/>
      <c r="E31" s="91"/>
      <c r="F31" s="91"/>
      <c r="G31" s="91"/>
      <c r="H31" s="91"/>
      <c r="I31" s="91"/>
      <c r="J31" s="91"/>
      <c r="K31" s="91"/>
      <c r="L31" s="91"/>
      <c r="M31" s="91"/>
      <c r="N31" s="91"/>
    </row>
    <row r="32" spans="2:14" ht="21.75" customHeight="1" x14ac:dyDescent="0.25">
      <c r="B32" t="s">
        <v>25</v>
      </c>
    </row>
    <row r="33" spans="2:14" ht="51" customHeight="1" x14ac:dyDescent="0.25">
      <c r="B33" s="90" t="s">
        <v>26</v>
      </c>
      <c r="C33" s="90"/>
      <c r="D33" s="90"/>
      <c r="E33" s="90"/>
      <c r="F33" s="90"/>
      <c r="G33" s="90"/>
      <c r="H33" s="90"/>
      <c r="I33" s="90"/>
      <c r="J33" s="90"/>
      <c r="K33" s="90"/>
      <c r="L33" s="90"/>
      <c r="M33" s="90"/>
      <c r="N33" s="90"/>
    </row>
    <row r="34" spans="2:14" ht="21.75" customHeight="1" x14ac:dyDescent="0.25"/>
    <row r="36" spans="2:14" x14ac:dyDescent="0.25">
      <c r="B36" s="82" t="s">
        <v>14</v>
      </c>
      <c r="C36" s="82"/>
      <c r="D36" s="82"/>
      <c r="E36" s="82"/>
      <c r="F36" s="82"/>
      <c r="G36" s="82"/>
      <c r="H36" s="82"/>
      <c r="I36" s="82"/>
      <c r="J36" s="82"/>
      <c r="K36" s="82"/>
      <c r="L36" s="82"/>
      <c r="M36" s="82"/>
      <c r="N36" s="82"/>
    </row>
  </sheetData>
  <sheetProtection sheet="1" selectLockedCells="1"/>
  <mergeCells count="11">
    <mergeCell ref="B36:N36"/>
    <mergeCell ref="B4:N4"/>
    <mergeCell ref="G2:N2"/>
    <mergeCell ref="C10:D10"/>
    <mergeCell ref="B30:N30"/>
    <mergeCell ref="B31:N31"/>
    <mergeCell ref="B33:N33"/>
    <mergeCell ref="B23:E23"/>
    <mergeCell ref="B24:F24"/>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Data!$A$24:$A$25</xm:f>
          </x14:formula1>
          <xm:sqref>E14:E15</xm:sqref>
        </x14:dataValidation>
        <x14:dataValidation type="list" allowBlank="1" showInputMessage="1" showErrorMessage="1">
          <x14:formula1>
            <xm:f>Data!$A$2:$A$21</xm:f>
          </x14:formula1>
          <xm:sqref>I6 K6 M6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showRowColHeaders="0" showRuler="0" zoomScaleNormal="100" workbookViewId="0">
      <selection activeCell="I6" sqref="I6"/>
    </sheetView>
  </sheetViews>
  <sheetFormatPr defaultRowHeight="15" x14ac:dyDescent="0.25"/>
  <cols>
    <col min="1" max="1" width="4.140625" customWidth="1"/>
    <col min="4" max="4" width="26.140625" customWidth="1"/>
    <col min="5" max="5" width="11.5703125" bestFit="1" customWidth="1"/>
    <col min="7" max="7" width="13.140625" style="6" customWidth="1"/>
    <col min="8" max="8" width="4.7109375" customWidth="1"/>
    <col min="9" max="9" width="13.5703125" style="6" customWidth="1"/>
    <col min="10" max="10" width="4.7109375" customWidth="1"/>
    <col min="11" max="11" width="13.5703125" style="6" customWidth="1"/>
    <col min="12" max="12" width="4.7109375" style="6" customWidth="1"/>
    <col min="13" max="13" width="13.5703125" style="6" customWidth="1"/>
    <col min="14" max="14" width="3.5703125" customWidth="1"/>
  </cols>
  <sheetData>
    <row r="1" spans="2:14" ht="17.25" customHeight="1" x14ac:dyDescent="0.25"/>
    <row r="2" spans="2:14" ht="47.25" customHeight="1" x14ac:dyDescent="0.25">
      <c r="G2" s="87" t="s">
        <v>42</v>
      </c>
      <c r="H2" s="88"/>
      <c r="I2" s="88"/>
      <c r="J2" s="88"/>
      <c r="K2" s="88"/>
      <c r="L2" s="88"/>
      <c r="M2" s="88"/>
      <c r="N2" s="88"/>
    </row>
    <row r="3" spans="2:14" ht="8.25" customHeight="1" x14ac:dyDescent="0.25">
      <c r="B3" s="24"/>
      <c r="C3" s="24"/>
      <c r="D3" s="24"/>
      <c r="E3" s="24"/>
      <c r="F3" s="24"/>
      <c r="G3" s="25"/>
      <c r="H3" s="26"/>
      <c r="I3" s="26"/>
      <c r="J3" s="26"/>
      <c r="K3" s="26"/>
      <c r="L3" s="26"/>
      <c r="M3" s="26"/>
      <c r="N3" s="26"/>
    </row>
    <row r="4" spans="2:14" ht="6.75" customHeight="1" x14ac:dyDescent="0.25">
      <c r="B4" s="86"/>
      <c r="C4" s="86"/>
      <c r="D4" s="86"/>
      <c r="E4" s="86"/>
      <c r="F4" s="86"/>
      <c r="G4" s="86"/>
      <c r="H4" s="86"/>
      <c r="I4" s="86"/>
      <c r="J4" s="86"/>
      <c r="K4" s="86"/>
      <c r="L4" s="86"/>
      <c r="M4" s="86"/>
      <c r="N4" s="86"/>
    </row>
    <row r="5" spans="2:14" ht="19.5" customHeight="1" x14ac:dyDescent="0.25">
      <c r="I5" s="75" t="s">
        <v>137</v>
      </c>
      <c r="K5" s="75" t="s">
        <v>138</v>
      </c>
      <c r="M5" s="75" t="s">
        <v>139</v>
      </c>
    </row>
    <row r="6" spans="2:14" ht="18" customHeight="1" x14ac:dyDescent="0.3">
      <c r="C6" s="8" t="s">
        <v>15</v>
      </c>
      <c r="D6" s="35"/>
      <c r="E6" s="35"/>
      <c r="F6" s="35"/>
      <c r="G6" s="35"/>
      <c r="H6" s="35"/>
      <c r="I6" s="74"/>
      <c r="K6" s="74"/>
      <c r="L6" s="27"/>
      <c r="M6" s="74"/>
      <c r="N6" s="35"/>
    </row>
    <row r="7" spans="2:14" ht="6" customHeight="1" x14ac:dyDescent="0.25"/>
    <row r="8" spans="2:14" ht="15.75" thickBot="1" x14ac:dyDescent="0.3">
      <c r="B8" s="1" t="s">
        <v>7</v>
      </c>
      <c r="C8" s="2"/>
      <c r="D8" s="2"/>
      <c r="E8" s="2"/>
      <c r="F8" s="2"/>
      <c r="G8" s="5" t="s">
        <v>3</v>
      </c>
      <c r="H8" s="4"/>
      <c r="I8" s="5" t="s">
        <v>93</v>
      </c>
      <c r="J8" s="4"/>
      <c r="K8" s="5" t="s">
        <v>94</v>
      </c>
      <c r="L8" s="5"/>
      <c r="M8" s="5" t="s">
        <v>95</v>
      </c>
      <c r="N8" s="2"/>
    </row>
    <row r="9" spans="2:14" ht="9" customHeight="1" x14ac:dyDescent="0.25"/>
    <row r="10" spans="2:14" ht="21.75" customHeight="1" x14ac:dyDescent="0.25">
      <c r="B10" s="14" t="s">
        <v>1</v>
      </c>
      <c r="C10" s="89"/>
      <c r="D10" s="89"/>
      <c r="E10" s="15"/>
      <c r="F10" s="15"/>
      <c r="G10" s="16" t="e">
        <f>I10+K10+M10</f>
        <v>#N/A</v>
      </c>
      <c r="H10" s="15"/>
      <c r="I10" s="16" t="e">
        <f>VLOOKUP(I6, Data!A2:C21, 2, FALSE)</f>
        <v>#N/A</v>
      </c>
      <c r="J10" s="15"/>
      <c r="K10" s="16" t="e">
        <f>VLOOKUP(K6, Data!A2:C21, 2, FALSE)</f>
        <v>#N/A</v>
      </c>
      <c r="L10" s="16"/>
      <c r="M10" s="16" t="e">
        <f>VLOOKUP(M6, Data!A2:C21, 2, FALSE)</f>
        <v>#N/A</v>
      </c>
      <c r="N10" s="15"/>
    </row>
    <row r="11" spans="2:14" ht="21.75" customHeight="1" x14ac:dyDescent="0.25">
      <c r="B11" s="72" t="s">
        <v>0</v>
      </c>
    </row>
    <row r="12" spans="2:14" ht="21.75" customHeight="1" x14ac:dyDescent="0.25">
      <c r="B12" s="17" t="s">
        <v>2</v>
      </c>
      <c r="C12" s="15"/>
      <c r="D12" s="15"/>
      <c r="E12" s="15"/>
      <c r="F12" s="15"/>
      <c r="G12" s="16" t="e">
        <f>I12+K12+M12</f>
        <v>#N/A</v>
      </c>
      <c r="H12" s="15"/>
      <c r="I12" s="16" t="e">
        <f>VLOOKUP(I6, Data!A2:C21, 3, FALSE)</f>
        <v>#N/A</v>
      </c>
      <c r="J12" s="15"/>
      <c r="K12" s="16" t="e">
        <f>VLOOKUP(K6, Data!A2:C21, 3, FALSE)</f>
        <v>#N/A</v>
      </c>
      <c r="L12" s="16"/>
      <c r="M12" s="16" t="e">
        <f>VLOOKUP(M6, Data!A2:C21, 3, FALSE)</f>
        <v>#N/A</v>
      </c>
      <c r="N12" s="15"/>
    </row>
    <row r="13" spans="2:14" ht="21.75" customHeight="1" x14ac:dyDescent="0.25">
      <c r="B13" s="56" t="s">
        <v>19</v>
      </c>
      <c r="G13" s="6" t="e">
        <f>I13+K13+M13</f>
        <v>#N/A</v>
      </c>
      <c r="I13" s="6" t="e">
        <f>VLOOKUP(I6, Data!A2:E21, 5, FALSE)</f>
        <v>#N/A</v>
      </c>
      <c r="K13" s="6" t="e">
        <f>VLOOKUP(K6, Data!A2:E21, 5, FALSE)</f>
        <v>#N/A</v>
      </c>
      <c r="M13" s="6" t="e">
        <f>VLOOKUP(M6, Data!A2:E21, 5, FALSE)</f>
        <v>#N/A</v>
      </c>
    </row>
    <row r="14" spans="2:14" ht="21.75" customHeight="1" x14ac:dyDescent="0.25">
      <c r="B14" s="102" t="s">
        <v>154</v>
      </c>
      <c r="C14" s="102"/>
      <c r="D14" s="103"/>
      <c r="E14" s="38"/>
      <c r="F14" s="36"/>
      <c r="G14" s="37">
        <f>I14+K14+M14</f>
        <v>0</v>
      </c>
      <c r="H14" s="36"/>
      <c r="I14" s="37">
        <f>IF(AND(E14="Yes", I6&lt;&gt;"not enrolled"), (VLOOKUP(E14, Data!A24:C25, 2, FALSE)), 0)</f>
        <v>0</v>
      </c>
      <c r="J14" s="36"/>
      <c r="K14" s="37">
        <v>0</v>
      </c>
      <c r="L14" s="37"/>
      <c r="M14" s="37">
        <f>IF(AND(E14="Yes", M6&lt;&gt;"not enrolled"), (VLOOKUP(E14, Data!A24:C25, 2, FALSE)), 0)</f>
        <v>0</v>
      </c>
      <c r="N14" s="36"/>
    </row>
    <row r="15" spans="2:14" s="32" customFormat="1" ht="21.75" customHeight="1" x14ac:dyDescent="0.25">
      <c r="B15" s="104" t="s">
        <v>153</v>
      </c>
      <c r="C15" s="104"/>
      <c r="D15" s="105"/>
      <c r="E15" s="101"/>
      <c r="F15" s="39"/>
      <c r="G15" s="40">
        <f>I15+K15+M15</f>
        <v>0</v>
      </c>
      <c r="H15" s="39"/>
      <c r="I15" s="40">
        <f>IF(AND(E15="Yes", I6&lt;&gt;"not enrolled"), (VLOOKUP(E15, Data!A24:C25, 3, FALSE)), 0)</f>
        <v>0</v>
      </c>
      <c r="J15" s="39"/>
      <c r="K15" s="40">
        <f>IF(AND(E15="Yes", K6&lt;&gt;"not enrolled"), (VLOOKUP(E15, Data!A24:C25, 3, FALSE)), 0)</f>
        <v>0</v>
      </c>
      <c r="L15" s="40"/>
      <c r="M15" s="40">
        <f>IF(AND(E15="Yes", M6&lt;&gt;"not enrolled"), (VLOOKUP(E15, Data!A24:C25, 3, FALSE)), 0)</f>
        <v>0</v>
      </c>
      <c r="N15" s="39"/>
    </row>
    <row r="16" spans="2:14" ht="21.75" customHeight="1" x14ac:dyDescent="0.25">
      <c r="C16" s="12" t="s">
        <v>6</v>
      </c>
      <c r="G16" s="13" t="e">
        <f>SUM(G10, G12:G15)</f>
        <v>#N/A</v>
      </c>
      <c r="I16" s="13" t="e">
        <f>SUM(I10,I12:I15)</f>
        <v>#N/A</v>
      </c>
      <c r="K16" s="13" t="e">
        <f>SUM(K10,K12:K15)</f>
        <v>#N/A</v>
      </c>
      <c r="L16" s="13"/>
      <c r="M16" s="13" t="e">
        <f>SUM(M10,M12:M15)</f>
        <v>#N/A</v>
      </c>
    </row>
    <row r="17" spans="2:14" ht="24" customHeight="1" x14ac:dyDescent="0.25"/>
    <row r="18" spans="2:14" ht="15.75" thickBot="1" x14ac:dyDescent="0.3">
      <c r="B18" s="1" t="s">
        <v>11</v>
      </c>
      <c r="C18" s="2"/>
      <c r="D18" s="2"/>
      <c r="E18" s="2"/>
      <c r="F18" s="2"/>
      <c r="G18" s="5" t="s">
        <v>3</v>
      </c>
      <c r="H18" s="4"/>
      <c r="I18" s="5" t="s">
        <v>93</v>
      </c>
      <c r="J18" s="4"/>
      <c r="K18" s="5" t="s">
        <v>94</v>
      </c>
      <c r="L18" s="5"/>
      <c r="M18" s="5" t="s">
        <v>95</v>
      </c>
      <c r="N18" s="2"/>
    </row>
    <row r="19" spans="2:14" ht="21.75" customHeight="1" x14ac:dyDescent="0.25">
      <c r="B19" t="s">
        <v>16</v>
      </c>
      <c r="G19" s="20"/>
      <c r="I19" s="6">
        <f>IF((AND(I6&lt;&gt;"not enrolled", K6&lt;&gt;"not enrolled", M6&lt;&gt;"not enrolled")), (G19/3), IF((AND(I6&lt;&gt;"not enrolled", K6&lt;&gt;"not enrolled", M6="not enrolled")), (G19/2), IF((AND(I6&lt;&gt;"not enrolled", K6="not enrolled", M6="not enrolled")), (G19/1), 0)))</f>
        <v>0</v>
      </c>
      <c r="K19" s="6">
        <f>IF((AND(I6&lt;&gt;"not enrolled", K6&lt;&gt;"not enrolled", M6&lt;&gt;"not enrolled")), (G19/3), IF((AND(I6&lt;&gt;"not enrolled", K6&lt;&gt;"not enrolled", M6="not enrolled")), (G19/2), IF((AND(I6="not enrolled", K6&lt;&gt;"not enrolled", M6&lt;&gt;"not enrolled")), (G19/2), 0)))</f>
        <v>0</v>
      </c>
      <c r="M19" s="6">
        <f>IF((AND(I6&lt;&gt;"not enrolled", K6&lt;&gt;"not enrolled", M6&lt;&gt;"not enrolled")), (G19/3), IF((AND(I6="not enrolled", K6&lt;&gt;"not enrolled", M6&lt;&gt;"not enrolled")), (G19/2), IF((AND(I6="not enrolled", K6="not enrolled", M6&lt;&gt;"not enrolled")), (G19), 0)))</f>
        <v>0</v>
      </c>
    </row>
    <row r="20" spans="2:14" ht="21.75" customHeight="1" x14ac:dyDescent="0.25">
      <c r="B20" s="15" t="s">
        <v>8</v>
      </c>
      <c r="C20" s="15"/>
      <c r="D20" s="15"/>
      <c r="E20" s="15"/>
      <c r="F20" s="15"/>
      <c r="G20" s="21"/>
      <c r="H20" s="15"/>
      <c r="I20" s="16">
        <f>IF((AND(I6&lt;&gt;"not enrolled", K6&lt;&gt;"not enrolled", M6&lt;&gt;"not enrolled")), (G20/3), IF((AND(I6&lt;&gt;"not enrolled", K6&lt;&gt;"not enrolled", M6="not enrolled")), (G20/2), IF((AND(I6&lt;&gt;"not enrolled", K6="not enrolled", M6="not enrolled")), (G20/1), 0)))</f>
        <v>0</v>
      </c>
      <c r="J20" s="15"/>
      <c r="K20" s="16">
        <f>IF((AND(I6&lt;&gt;"not enrolled", K6&lt;&gt;"not enrolled", M6&lt;&gt;"not enrolled")), (G20/3), IF((AND(I6&lt;&gt;"not enrolled", K6&lt;&gt;"not enrolled", M6="not enrolled")), (G20/2), IF((AND(I6="not enrolled", K6&lt;&gt;"not enrolled", M6&lt;&gt;"not enrolled")), (G20/2), 0)))</f>
        <v>0</v>
      </c>
      <c r="L20" s="16"/>
      <c r="M20" s="16">
        <f>IF((AND(I6&lt;&gt;"not enrolled", K6&lt;&gt;"not enrolled", M6&lt;&gt;"not enrolled")), (G20/3), IF((AND(I6="not enrolled", K6&lt;&gt;"not enrolled", M6&lt;&gt;"not enrolled")), (G20/2), IF((AND(I6="not enrolled", K6="not enrolled", M6&lt;&gt;"not enrolled")), (G20), 0)))</f>
        <v>0</v>
      </c>
      <c r="N20" s="15"/>
    </row>
    <row r="21" spans="2:14" ht="21.75" customHeight="1" x14ac:dyDescent="0.25">
      <c r="B21" t="s">
        <v>21</v>
      </c>
      <c r="E21" s="22"/>
      <c r="G21" s="6">
        <f>E21-(E21*0.01062)</f>
        <v>0</v>
      </c>
      <c r="I21" s="6">
        <f>IF((AND(I6&lt;&gt;"not enrolled", K6&lt;&gt;"not enrolled", M6&lt;&gt;"not enrolled")), (G21/3), IF((AND(I6&lt;&gt;"not enrolled", K6&lt;&gt;"not enrolled", M6="not enrolled")), (G21/2), IF((AND(I6&lt;&gt;"not enrolled", K6="not enrolled", M6="not enrolled")), (G21/1), 0)))</f>
        <v>0</v>
      </c>
      <c r="K21" s="6">
        <f>IF((AND(I6&lt;&gt;"not enrolled", K6&lt;&gt;"not enrolled", M6&lt;&gt;"not enrolled")), (G21/3), IF((AND(I6&lt;&gt;"not enrolled", K6&lt;&gt;"not enrolled", M6="not enrolled")), (G21/2), IF((AND(I6="not enrolled", K6&lt;&gt;"not enrolled", M6&lt;&gt;"not enrolled")), (G21/2), 0)))</f>
        <v>0</v>
      </c>
      <c r="M21" s="6">
        <f>IF((AND(I6&lt;&gt;"not enrolled", K6&lt;&gt;"not enrolled", M6&lt;&gt;"not enrolled")), (G21/3), IF((AND(I6="not enrolled", K6&lt;&gt;"not enrolled", M6&lt;&gt;"not enrolled")), (G21/2), IF((AND(I6="not enrolled", K6="not enrolled", M6&lt;&gt;"not enrolled")), (G21), 0)))</f>
        <v>0</v>
      </c>
    </row>
    <row r="22" spans="2:14" ht="21.75" customHeight="1" x14ac:dyDescent="0.25">
      <c r="B22" s="15" t="s">
        <v>22</v>
      </c>
      <c r="C22" s="15"/>
      <c r="D22" s="15"/>
      <c r="E22" s="22"/>
      <c r="F22" s="15"/>
      <c r="G22" s="16">
        <f>E22-(E22*0.04248)</f>
        <v>0</v>
      </c>
      <c r="H22" s="15"/>
      <c r="I22" s="16">
        <f>IF((AND(I6&lt;&gt;"not enrolled", K6&lt;&gt;"not enrolled", M6&lt;&gt;"not enrolled")), (G22/3), IF((AND(I6&lt;&gt;"not enrolled", K6&lt;&gt;"not enrolled", M6="not enrolled")), (G22/2), IF((AND(I6&lt;&gt;"not enrolled", K6="not enrolled", M6="not enrolled")), (G22/1), 0)))</f>
        <v>0</v>
      </c>
      <c r="J22" s="15"/>
      <c r="K22" s="16">
        <f>IF((AND(I6&lt;&gt;"not enrolled", K6&lt;&gt;"not enrolled", M6&lt;&gt;"not enrolled")), (G22/3), IF((AND(I6&lt;&gt;"not enrolled", K6&lt;&gt;"not enrolled", M6="not enrolled")), (G22/2), IF((AND(I6="not enrolled", K6&lt;&gt;"not enrolled", M6&lt;&gt;"not enrolled")), (G22/2), 0)))</f>
        <v>0</v>
      </c>
      <c r="L22" s="16"/>
      <c r="M22" s="16">
        <f>IF((AND(I6&lt;&gt;"not enrolled", K6&lt;&gt;"not enrolled", M6&lt;&gt;"not enrolled")), (G22/3), IF((AND(I6="not enrolled", K6&lt;&gt;"not enrolled", M6&lt;&gt;"not enrolled")), (G22/2), IF((AND(I6="not enrolled", K6="not enrolled", M6&lt;&gt;"not enrolled")), (G22), 0)))</f>
        <v>0</v>
      </c>
      <c r="N22" s="15"/>
    </row>
    <row r="23" spans="2:14" ht="21.75" customHeight="1" x14ac:dyDescent="0.25">
      <c r="B23" s="91" t="s">
        <v>43</v>
      </c>
      <c r="C23" s="91"/>
      <c r="D23" s="91"/>
      <c r="E23" s="91"/>
      <c r="G23" s="21"/>
      <c r="I23" s="6">
        <f>IF((AND(I6&lt;&gt;"not enrolled", K6&lt;&gt;"not enrolled", M6&lt;&gt;"not enrolled")), (G23/3), IF((AND(I6&lt;&gt;"not enrolled", K6&lt;&gt;"not enrolled", M6="not enrolled")), (G23/2), IF((AND(I6&lt;&gt;"not enrolled", K6="not enrolled", M6="not enrolled")), (G23/1), 0)))</f>
        <v>0</v>
      </c>
      <c r="K23" s="6">
        <f>IF((AND(I6&lt;&gt;"not enrolled", K6&lt;&gt;"not enrolled", M6&lt;&gt;"not enrolled")), (G23/3), IF((AND(I6&lt;&gt;"not enrolled", K6&lt;&gt;"not enrolled", M6="not enrolled")), (G23/2), IF((AND(I6="not enrolled", K6&lt;&gt;"not enrolled", M6&lt;&gt;"not enrolled")), (G23/2), 0)))</f>
        <v>0</v>
      </c>
      <c r="M23" s="6">
        <f>IF((AND(I6&lt;&gt;"not enrolled", K6&lt;&gt;"not enrolled", M6&lt;&gt;"not enrolled")), (G23/3), IF((AND(I6="not enrolled", K6&lt;&gt;"not enrolled", M6&lt;&gt;"not enrolled")), (G23/2), IF((AND(I6="not enrolled", K6="not enrolled", M6&lt;&gt;"not enrolled")), (G23), 0)))</f>
        <v>0</v>
      </c>
    </row>
    <row r="24" spans="2:14" ht="21.75" customHeight="1" x14ac:dyDescent="0.25">
      <c r="B24" s="92" t="s">
        <v>44</v>
      </c>
      <c r="C24" s="92"/>
      <c r="D24" s="92"/>
      <c r="E24" s="92"/>
      <c r="F24" s="92"/>
      <c r="G24" s="34">
        <f>I24+K24+M24</f>
        <v>0</v>
      </c>
      <c r="H24" s="33"/>
      <c r="I24" s="23"/>
      <c r="J24" s="33"/>
      <c r="K24" s="23"/>
      <c r="L24" s="41"/>
      <c r="M24" s="29"/>
      <c r="N24" s="33"/>
    </row>
    <row r="25" spans="2:14" ht="21.75" customHeight="1" x14ac:dyDescent="0.25">
      <c r="C25" s="12" t="s">
        <v>10</v>
      </c>
      <c r="G25" s="6">
        <f>SUM(G19:G24)</f>
        <v>0</v>
      </c>
      <c r="I25" s="6">
        <f>SUM(I19:I24)</f>
        <v>0</v>
      </c>
      <c r="K25" s="6">
        <f>SUM(K19:K23,K24)</f>
        <v>0</v>
      </c>
      <c r="M25" s="6">
        <f>SUM(M19:M23,M24)</f>
        <v>0</v>
      </c>
    </row>
    <row r="26" spans="2:14" ht="15.75" thickBot="1" x14ac:dyDescent="0.3"/>
    <row r="27" spans="2:14" ht="21.75" customHeight="1" thickTop="1" thickBot="1" x14ac:dyDescent="0.35">
      <c r="B27" s="19" t="s">
        <v>12</v>
      </c>
      <c r="C27" s="18"/>
      <c r="D27" s="18"/>
      <c r="E27" s="18"/>
      <c r="F27" s="18"/>
      <c r="G27" s="30" t="e">
        <f>G16-G25</f>
        <v>#N/A</v>
      </c>
      <c r="H27" s="31"/>
      <c r="I27" s="30" t="e">
        <f>I16-I25</f>
        <v>#N/A</v>
      </c>
      <c r="J27" s="31"/>
      <c r="K27" s="30" t="e">
        <f>K16-K25</f>
        <v>#N/A</v>
      </c>
      <c r="L27" s="30"/>
      <c r="M27" s="30" t="e">
        <f>M16-M25</f>
        <v>#N/A</v>
      </c>
      <c r="N27" s="18"/>
    </row>
    <row r="28" spans="2:14" ht="15.75" thickTop="1" x14ac:dyDescent="0.25"/>
    <row r="29" spans="2:14" x14ac:dyDescent="0.25">
      <c r="B29" s="12" t="s">
        <v>13</v>
      </c>
    </row>
    <row r="30" spans="2:14" ht="36.75" customHeight="1" x14ac:dyDescent="0.25">
      <c r="B30" s="90" t="s">
        <v>24</v>
      </c>
      <c r="C30" s="90"/>
      <c r="D30" s="90"/>
      <c r="E30" s="90"/>
      <c r="F30" s="90"/>
      <c r="G30" s="90"/>
      <c r="H30" s="90"/>
      <c r="I30" s="90"/>
      <c r="J30" s="90"/>
      <c r="K30" s="90"/>
      <c r="L30" s="90"/>
      <c r="M30" s="90"/>
      <c r="N30" s="90"/>
    </row>
    <row r="31" spans="2:14" ht="21.75" customHeight="1" x14ac:dyDescent="0.25">
      <c r="B31" s="91" t="s">
        <v>20</v>
      </c>
      <c r="C31" s="91"/>
      <c r="D31" s="91"/>
      <c r="E31" s="91"/>
      <c r="F31" s="91"/>
      <c r="G31" s="91"/>
      <c r="H31" s="91"/>
      <c r="I31" s="91"/>
      <c r="J31" s="91"/>
      <c r="K31" s="91"/>
      <c r="L31" s="91"/>
      <c r="M31" s="91"/>
      <c r="N31" s="91"/>
    </row>
    <row r="32" spans="2:14" ht="21.75" customHeight="1" x14ac:dyDescent="0.25">
      <c r="B32" t="s">
        <v>25</v>
      </c>
    </row>
    <row r="33" spans="2:14" ht="51" customHeight="1" x14ac:dyDescent="0.25">
      <c r="B33" s="90" t="s">
        <v>26</v>
      </c>
      <c r="C33" s="90"/>
      <c r="D33" s="90"/>
      <c r="E33" s="90"/>
      <c r="F33" s="90"/>
      <c r="G33" s="90"/>
      <c r="H33" s="90"/>
      <c r="I33" s="90"/>
      <c r="J33" s="90"/>
      <c r="K33" s="90"/>
      <c r="L33" s="90"/>
      <c r="M33" s="90"/>
      <c r="N33" s="90"/>
    </row>
    <row r="34" spans="2:14" ht="21.75" customHeight="1" x14ac:dyDescent="0.25"/>
    <row r="36" spans="2:14" x14ac:dyDescent="0.25">
      <c r="B36" s="82" t="s">
        <v>14</v>
      </c>
      <c r="C36" s="82"/>
      <c r="D36" s="82"/>
      <c r="E36" s="82"/>
      <c r="F36" s="82"/>
      <c r="G36" s="82"/>
      <c r="H36" s="82"/>
      <c r="I36" s="82"/>
      <c r="J36" s="82"/>
      <c r="K36" s="82"/>
      <c r="L36" s="82"/>
      <c r="M36" s="82"/>
      <c r="N36" s="82"/>
    </row>
  </sheetData>
  <sheetProtection sheet="1" selectLockedCells="1"/>
  <mergeCells count="11">
    <mergeCell ref="B31:N31"/>
    <mergeCell ref="B33:N33"/>
    <mergeCell ref="B36:N36"/>
    <mergeCell ref="G2:N2"/>
    <mergeCell ref="B4:N4"/>
    <mergeCell ref="C10:D10"/>
    <mergeCell ref="B23:E23"/>
    <mergeCell ref="B24:F24"/>
    <mergeCell ref="B30:N30"/>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Data!$A$2:$A$21</xm:f>
          </x14:formula1>
          <xm:sqref>I6 K6 M6</xm:sqref>
        </x14:dataValidation>
        <x14:dataValidation type="list" allowBlank="1" showInputMessage="1" showErrorMessage="1">
          <x14:formula1>
            <xm:f>Data!$A$24:$A$25</xm:f>
          </x14:formula1>
          <xm:sqref>E14:E15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zoomScaleNormal="100" workbookViewId="0">
      <selection activeCell="G5" sqref="G5:H5"/>
    </sheetView>
  </sheetViews>
  <sheetFormatPr defaultRowHeight="15" x14ac:dyDescent="0.25"/>
  <cols>
    <col min="1" max="1" width="4.140625" customWidth="1"/>
    <col min="4" max="4" width="26.7109375" customWidth="1"/>
    <col min="5" max="5" width="11.5703125" customWidth="1"/>
    <col min="7" max="7" width="13.140625" style="6" customWidth="1"/>
    <col min="8" max="8" width="4.7109375" customWidth="1"/>
    <col min="9" max="9" width="13.7109375" style="6" customWidth="1"/>
    <col min="10" max="10" width="4.7109375" customWidth="1"/>
    <col min="11" max="11" width="13.7109375" style="6" customWidth="1"/>
    <col min="12" max="12" width="4.7109375" style="6" customWidth="1"/>
    <col min="13" max="13" width="13.7109375" style="6" customWidth="1"/>
    <col min="14" max="14" width="3.5703125" customWidth="1"/>
  </cols>
  <sheetData>
    <row r="1" spans="2:15" ht="17.25" customHeight="1" x14ac:dyDescent="0.25"/>
    <row r="2" spans="2:15" ht="47.25" customHeight="1" x14ac:dyDescent="0.25">
      <c r="G2" s="87" t="s">
        <v>83</v>
      </c>
      <c r="H2" s="88"/>
      <c r="I2" s="88"/>
      <c r="J2" s="88"/>
      <c r="K2" s="88"/>
      <c r="L2" s="88"/>
      <c r="M2" s="88"/>
      <c r="N2" s="88"/>
    </row>
    <row r="3" spans="2:15" ht="8.25" customHeight="1" x14ac:dyDescent="0.25">
      <c r="B3" s="24"/>
      <c r="C3" s="24"/>
      <c r="D3" s="24"/>
      <c r="E3" s="24"/>
      <c r="F3" s="24"/>
      <c r="G3" s="25"/>
      <c r="H3" s="26"/>
      <c r="I3" s="26"/>
      <c r="J3" s="26"/>
      <c r="K3" s="26"/>
      <c r="L3" s="26"/>
      <c r="M3" s="26"/>
      <c r="N3" s="26"/>
    </row>
    <row r="4" spans="2:15" ht="9.75" customHeight="1" x14ac:dyDescent="0.25"/>
    <row r="5" spans="2:15" ht="18" customHeight="1" x14ac:dyDescent="0.3">
      <c r="B5" s="8" t="s">
        <v>23</v>
      </c>
      <c r="D5" s="35"/>
      <c r="E5" s="35"/>
      <c r="F5" s="35"/>
      <c r="G5" s="93"/>
      <c r="H5" s="94"/>
      <c r="I5"/>
      <c r="N5" s="6"/>
      <c r="O5" s="6"/>
    </row>
    <row r="6" spans="2:15" ht="9.75" customHeight="1" x14ac:dyDescent="0.25">
      <c r="N6" s="6"/>
      <c r="O6" s="6"/>
    </row>
    <row r="7" spans="2:15" ht="17.25" customHeight="1" thickBot="1" x14ac:dyDescent="0.3">
      <c r="I7" s="44" t="s">
        <v>137</v>
      </c>
      <c r="K7" s="44" t="s">
        <v>138</v>
      </c>
      <c r="M7" s="44" t="s">
        <v>139</v>
      </c>
      <c r="N7" s="6"/>
      <c r="O7" s="6"/>
    </row>
    <row r="8" spans="2:15" ht="18" customHeight="1" x14ac:dyDescent="0.3">
      <c r="C8" s="8" t="s">
        <v>15</v>
      </c>
      <c r="D8" s="35"/>
      <c r="E8" s="35"/>
      <c r="F8" s="35"/>
      <c r="G8" s="35"/>
      <c r="H8" s="35"/>
      <c r="I8" s="45"/>
      <c r="K8" s="45"/>
      <c r="L8" s="27"/>
      <c r="M8" s="45"/>
      <c r="N8" s="35"/>
    </row>
    <row r="9" spans="2:15" ht="15" customHeight="1" x14ac:dyDescent="0.25"/>
    <row r="10" spans="2:15" ht="15.75" thickBot="1" x14ac:dyDescent="0.3">
      <c r="B10" s="1" t="s">
        <v>7</v>
      </c>
      <c r="C10" s="2"/>
      <c r="D10" s="2"/>
      <c r="E10" s="2"/>
      <c r="F10" s="2"/>
      <c r="G10" s="5" t="s">
        <v>3</v>
      </c>
      <c r="H10" s="4"/>
      <c r="I10" s="5" t="s">
        <v>93</v>
      </c>
      <c r="J10" s="4"/>
      <c r="K10" s="5" t="s">
        <v>94</v>
      </c>
      <c r="L10" s="5"/>
      <c r="M10" s="5" t="s">
        <v>95</v>
      </c>
      <c r="N10" s="2"/>
    </row>
    <row r="11" spans="2:15" ht="9" customHeight="1" x14ac:dyDescent="0.25"/>
    <row r="12" spans="2:15" ht="21.75" customHeight="1" x14ac:dyDescent="0.25">
      <c r="B12" s="14" t="s">
        <v>1</v>
      </c>
      <c r="C12" s="89"/>
      <c r="D12" s="89"/>
      <c r="E12" s="15"/>
      <c r="F12" s="15"/>
      <c r="G12" s="16">
        <f>I12+K12+M12</f>
        <v>0</v>
      </c>
      <c r="H12" s="15"/>
      <c r="I12" s="16">
        <f>IF(G5="2018 Fall Quarter",(VLOOKUP(I8,Data!A55:B72,2,FALSE)),IF(G5="2019 Fall Quarter",(VLOOKUP(I8,Data!A55:C72,3,FALSE)),0))</f>
        <v>0</v>
      </c>
      <c r="J12" s="15"/>
      <c r="K12" s="16">
        <f>IF(G5="2018 Fall Quarter",(VLOOKUP(K8,Data!A55:B72,2,FALSE)),IF(G5="2019 Fall Quarter",(VLOOKUP(K8,Data!A55:C72,3,FALSE)),0))</f>
        <v>0</v>
      </c>
      <c r="L12" s="16"/>
      <c r="M12" s="16">
        <f>IF(G5="2018 Fall Quarter",(VLOOKUP(M8,Data!A55:B72,2,FALSE)),IF(G5="2019 Fall Quarter",(VLOOKUP(M8,Data!A55:C72,3,FALSE)),0))</f>
        <v>0</v>
      </c>
      <c r="N12" s="15"/>
    </row>
    <row r="13" spans="2:15" ht="21.75" customHeight="1" x14ac:dyDescent="0.25">
      <c r="B13" s="43" t="s">
        <v>0</v>
      </c>
    </row>
    <row r="14" spans="2:15" ht="21.75" customHeight="1" x14ac:dyDescent="0.25">
      <c r="B14" s="17" t="s">
        <v>2</v>
      </c>
      <c r="C14" s="15"/>
      <c r="D14" s="15"/>
      <c r="E14" s="15"/>
      <c r="F14" s="15"/>
      <c r="G14" s="16" t="e">
        <f>I14+K14+M14</f>
        <v>#N/A</v>
      </c>
      <c r="H14" s="15"/>
      <c r="I14" s="16" t="e">
        <f>VLOOKUP(I8, Data!A55:E72, 4, FALSE)</f>
        <v>#N/A</v>
      </c>
      <c r="J14" s="15"/>
      <c r="K14" s="16" t="e">
        <f>VLOOKUP(K8, Data!A55:D72, 4, FALSE)</f>
        <v>#N/A</v>
      </c>
      <c r="L14" s="16"/>
      <c r="M14" s="16" t="e">
        <f>VLOOKUP(M8, Data!A55:D72, 4, FALSE)</f>
        <v>#N/A</v>
      </c>
      <c r="N14" s="15"/>
    </row>
    <row r="15" spans="2:15" ht="21.75" customHeight="1" x14ac:dyDescent="0.25">
      <c r="B15" s="42" t="s">
        <v>19</v>
      </c>
      <c r="G15" s="6" t="e">
        <f>I15+K15+M15</f>
        <v>#N/A</v>
      </c>
      <c r="I15" s="6" t="e">
        <f>VLOOKUP(I8, Data!A55:E72, 5, FALSE)</f>
        <v>#N/A</v>
      </c>
      <c r="K15" s="6" t="e">
        <f>VLOOKUP(K8, Data!A55:E72, 5, FALSE)</f>
        <v>#N/A</v>
      </c>
      <c r="M15" s="6" t="e">
        <f>VLOOKUP(M8, Data!A55:E72, 5, FALSE)</f>
        <v>#N/A</v>
      </c>
    </row>
    <row r="16" spans="2:15" ht="21.75" customHeight="1" x14ac:dyDescent="0.25">
      <c r="B16" s="102" t="s">
        <v>154</v>
      </c>
      <c r="C16" s="102"/>
      <c r="D16" s="103"/>
      <c r="E16" s="38"/>
      <c r="F16" s="36"/>
      <c r="G16" s="37">
        <f>I16+K16+M16</f>
        <v>0</v>
      </c>
      <c r="H16" s="36"/>
      <c r="I16" s="37">
        <f>IF(AND(E16="Yes", I8&lt;&gt;"not enrolled"), (VLOOKUP(E16, Data!A24:B25, 2, FALSE)), 0)</f>
        <v>0</v>
      </c>
      <c r="J16" s="36"/>
      <c r="K16" s="37">
        <v>0</v>
      </c>
      <c r="L16" s="37"/>
      <c r="M16" s="37">
        <f>IF(AND(E16="Yes", M8&lt;&gt;"not enrolled"), (VLOOKUP(E16, Data!A24:B25, 2, FALSE)), 0)</f>
        <v>0</v>
      </c>
      <c r="N16" s="36"/>
    </row>
    <row r="17" spans="2:14" s="32" customFormat="1" ht="21.75" customHeight="1" x14ac:dyDescent="0.25">
      <c r="B17" s="100" t="s">
        <v>153</v>
      </c>
      <c r="C17" s="39"/>
      <c r="D17" s="39"/>
      <c r="E17" s="101"/>
      <c r="F17" s="39"/>
      <c r="G17" s="40">
        <f>I17+K17+M17</f>
        <v>0</v>
      </c>
      <c r="H17" s="39"/>
      <c r="I17" s="40">
        <f>IF(AND(E17="Yes",I8&lt;&gt;"not enrolled"),(VLOOKUP(E17,Data!A24:C25,3,FALSE)),0)</f>
        <v>0</v>
      </c>
      <c r="J17" s="39"/>
      <c r="K17" s="40">
        <f>IF(AND(E17="Yes",K8&lt;&gt;"not enrolled"),(VLOOKUP(E17,Data!A24:C25,3,FALSE)),0)</f>
        <v>0</v>
      </c>
      <c r="L17" s="40"/>
      <c r="M17" s="40">
        <f>IF(AND(E17="Yes",M8&lt;&gt;"not enrolled"),(VLOOKUP(E17,Data!A24:C25,3,FALSE)),0)</f>
        <v>0</v>
      </c>
      <c r="N17" s="39"/>
    </row>
    <row r="18" spans="2:14" ht="21.75" customHeight="1" x14ac:dyDescent="0.25">
      <c r="C18" s="12" t="s">
        <v>6</v>
      </c>
      <c r="G18" s="13" t="e">
        <f>SUM(G12, G14:G17)</f>
        <v>#N/A</v>
      </c>
      <c r="I18" s="13" t="e">
        <f>SUM(I12,I14:I17)</f>
        <v>#N/A</v>
      </c>
      <c r="K18" s="13" t="e">
        <f>SUM(K12,K14:K17)</f>
        <v>#N/A</v>
      </c>
      <c r="L18" s="13"/>
      <c r="M18" s="13" t="e">
        <f>SUM(M12,M14:M17)</f>
        <v>#N/A</v>
      </c>
    </row>
    <row r="19" spans="2:14" ht="24" customHeight="1" x14ac:dyDescent="0.25"/>
    <row r="20" spans="2:14" ht="15.75" thickBot="1" x14ac:dyDescent="0.3">
      <c r="B20" s="1" t="s">
        <v>11</v>
      </c>
      <c r="C20" s="2"/>
      <c r="D20" s="2"/>
      <c r="E20" s="2"/>
      <c r="F20" s="2"/>
      <c r="G20" s="5" t="s">
        <v>3</v>
      </c>
      <c r="H20" s="4"/>
      <c r="I20" s="5" t="s">
        <v>93</v>
      </c>
      <c r="J20" s="4"/>
      <c r="K20" s="5" t="s">
        <v>94</v>
      </c>
      <c r="L20" s="5"/>
      <c r="M20" s="5" t="s">
        <v>95</v>
      </c>
      <c r="N20" s="2"/>
    </row>
    <row r="21" spans="2:14" ht="21.75" customHeight="1" x14ac:dyDescent="0.25">
      <c r="B21" t="s">
        <v>16</v>
      </c>
      <c r="G21" s="20"/>
      <c r="I21" s="6">
        <f>IF((AND(I8&lt;&gt;"not enrolled", K8&lt;&gt;"not enrolled", M8&lt;&gt;"not enrolled")), (G21/3), IF((AND(I8&lt;&gt;"not enrolled", K8&lt;&gt;"not enrolled", M8="not enrolled")), (G21/2), IF((AND(I8&lt;&gt;"not enrolled", K8="not enrolled", M8="not enrolled")), (G21/1), 0)))</f>
        <v>0</v>
      </c>
      <c r="K21" s="6">
        <f>IF((AND(I8&lt;&gt;"not enrolled", K8&lt;&gt;"not enrolled", M8&lt;&gt;"not enrolled")), (G21/3), IF((AND(I8&lt;&gt;"not enrolled", K8&lt;&gt;"not enrolled", M8="not enrolled")), (G21/2), IF((AND(I8="not enrolled", K8&lt;&gt;"not enrolled", M8&lt;&gt;"not enrolled")), (G21/2), 0)))</f>
        <v>0</v>
      </c>
      <c r="M21" s="6">
        <f>IF((AND(I8&lt;&gt;"not enrolled", K8&lt;&gt;"not enrolled", M8&lt;&gt;"not enrolled")), (G21/3), IF((AND(I8="not enrolled", K8&lt;&gt;"not enrolled", M8&lt;&gt;"not enrolled")), (G21/2), IF((AND(I8="not enrolled", K8="not enrolled", M8&lt;&gt;"not enrolled")), (G21),0)))</f>
        <v>0</v>
      </c>
    </row>
    <row r="22" spans="2:14" ht="21.75" customHeight="1" x14ac:dyDescent="0.25">
      <c r="B22" s="15" t="s">
        <v>8</v>
      </c>
      <c r="C22" s="15"/>
      <c r="D22" s="15"/>
      <c r="E22" s="15"/>
      <c r="F22" s="15"/>
      <c r="G22" s="21"/>
      <c r="H22" s="15"/>
      <c r="I22" s="16">
        <f>IF((AND(I8&lt;&gt;"not enrolled", K8&lt;&gt;"not enrolled", M8&lt;&gt;"not enrolled")), (G22/3), IF((AND(I8&lt;&gt;"not enrolled", K8&lt;&gt;"not enrolled", M8="not enrolled")), (G22/2), IF((AND(I8&lt;&gt;"not enrolled", K8="not enrolled", M8="not enrolled")), (G22/1), 0)))</f>
        <v>0</v>
      </c>
      <c r="J22" s="15"/>
      <c r="K22" s="16">
        <f>IF((AND(I8&lt;&gt;"not enrolled",K8&lt;&gt;"not enrolled",M8&lt;&gt;"not enrolled")),(G22/3),IF((AND(I8&lt;&gt;"not enrolled",K8&lt;&gt;"not enrolled",M8="not enrolled")),(G22/2),IF((AND(I8="not enrolled",K8&lt;&gt;"not enrolled",M8&lt;&gt;"not enrolled")),(G22/2),0)))</f>
        <v>0</v>
      </c>
      <c r="L22" s="16"/>
      <c r="M22" s="16">
        <f>IF((AND(I8&lt;&gt;"not enrolled",K8&lt;&gt;"not enrolled",M8&lt;&gt;"not enrolled")),(G22/3),IF((AND(I8="not enrolled",K8&lt;&gt;"not enrolled",M8&lt;&gt;"not enrolled")),(G22/2),IF((AND(I8="not enrolled",K8="not enrolled",M8&lt;&gt;"not enrolled")),(G22),0)))</f>
        <v>0</v>
      </c>
      <c r="N22" s="15"/>
    </row>
    <row r="23" spans="2:14" ht="21.75" customHeight="1" x14ac:dyDescent="0.25">
      <c r="B23" t="s">
        <v>21</v>
      </c>
      <c r="E23" s="22"/>
      <c r="G23" s="6">
        <f>E23-(E23*0.01062)</f>
        <v>0</v>
      </c>
      <c r="I23" s="6">
        <f>IF((AND(I8&lt;&gt;"not enrolled", K8&lt;&gt;"not enrolled", M8&lt;&gt;"not enrolled")), (G23/3), IF((AND(I8&lt;&gt;"not enrolled", K8&lt;&gt;"not enrolled", M8="not enrolled")), (G23/2), IF((AND(I8&lt;&gt;"not enrolled", K8="not enrolled", M8="not enrolled")), (G23/1), 0)))</f>
        <v>0</v>
      </c>
      <c r="K23" s="6">
        <f>IF((AND(I8&lt;&gt;"not enrolled",K8&lt;&gt;"not enrolled",M8&lt;&gt;"not enrolled")),(G23/3),IF((AND(I8&lt;&gt;"not enrolled",K8&lt;&gt;"not enrolled",M8="not enrolled")),(G23/2),IF((AND(I8="not enrolled",K8&lt;&gt;"not enrolled",M8&lt;&gt;"not enrolled")),(G23/2),0)))</f>
        <v>0</v>
      </c>
      <c r="M23" s="6">
        <f>IF((AND(I8&lt;&gt;"not enrolled", K8&lt;&gt;"not enrolled", M8&lt;&gt;"not enrolled")), (G23/3), IF((AND(I8="not enrolled", K8&lt;&gt;"not enrolled", M8&lt;&gt;"not enrolled")), (G23/2), IF((AND(I8="not enrolled", K8="not enrolled", M8&lt;&gt;"not enrolled")), (G23),0)))</f>
        <v>0</v>
      </c>
    </row>
    <row r="24" spans="2:14" ht="21.75" customHeight="1" x14ac:dyDescent="0.25">
      <c r="B24" s="15" t="s">
        <v>22</v>
      </c>
      <c r="C24" s="15"/>
      <c r="D24" s="15"/>
      <c r="E24" s="22"/>
      <c r="F24" s="15"/>
      <c r="G24" s="16">
        <f>E24-(E24*0.04248)</f>
        <v>0</v>
      </c>
      <c r="H24" s="15"/>
      <c r="I24" s="16">
        <f>IF((AND(I8&lt;&gt;"not enrolled", K8&lt;&gt;"not enrolled", M8&lt;&gt;"not enrolled")), (G24/3), IF((AND(I8&lt;&gt;"not enrolled", K8&lt;&gt;"not enrolled", M8="not enrolled")), (G24/2), IF((AND(I8&lt;&gt;"not enrolled", K8="not enrolled", M8="not enrolled")), (G24/1), 0)))</f>
        <v>0</v>
      </c>
      <c r="J24" s="15"/>
      <c r="K24" s="16">
        <f>IF((AND(I8&lt;&gt;"not enrolled",K8&lt;&gt;"not enrolled",M8&lt;&gt;"not enrolled")),(G24/3),IF((AND(I8&lt;&gt;"not enrolled",K8&lt;&gt;"not enrolled",M8="not enrolled")),(G24/2),IF((AND(I8="not enrolled",K8&lt;&gt;"not enrolled",M8&lt;&gt;"not enrolled")),(G24/2),0)))</f>
        <v>0</v>
      </c>
      <c r="L24" s="16"/>
      <c r="M24" s="16">
        <f>IF((AND(I8&lt;&gt;"not enrolled", K8&lt;&gt;"not enrolled", M8&lt;&gt;"not enrolled")), (G24/3), IF((AND(I8="not enrolled", K8&lt;&gt;"not enrolled", M8&lt;&gt;"not enrolled")), (G24/2), IF((AND(I8="not enrolled", K8="not enrolled", M8&lt;&gt;"not enrolled")), (G24), 0)))</f>
        <v>0</v>
      </c>
      <c r="N24" s="15"/>
    </row>
    <row r="25" spans="2:14" ht="21.75" customHeight="1" x14ac:dyDescent="0.25">
      <c r="B25" t="s">
        <v>9</v>
      </c>
      <c r="G25" s="21"/>
      <c r="I25" s="6">
        <f>IF((AND(I8&lt;&gt;"not enrolled", K8&lt;&gt;"not enrolled", M8&lt;&gt;"not enrolled")), (G25/3), IF((AND(I8&lt;&gt;"not enrolled", K8&lt;&gt;"not enrolled", M8="not enrolled")), (G25/2), IF((AND(I8&lt;&gt;"not enrolled", K8="not enrolled", M8="not enrolled")), (G25/1), 0)))</f>
        <v>0</v>
      </c>
      <c r="K25" s="6">
        <f>IF((AND(I8&lt;&gt;"not enrolled", K8&lt;&gt;"not enrolled", M8&lt;&gt;"not enrolled")), (G25/3), IF((AND(I8&lt;&gt;"not enrolled", K8&lt;&gt;"not enrolled", M8="not enrolled")), (G25/2), IF((AND(I8="not enrolled", K8&lt;&gt;"not enrolled", M8&lt;&gt;"not enrolled")), (G25/2), 0)))</f>
        <v>0</v>
      </c>
      <c r="M25" s="6">
        <f>IF((AND(I8&lt;&gt;"not enrolled",K8&lt;&gt;"not enrolled",M8&lt;&gt;"not enrolled")),(G25/3),IF((AND(I8="not enrolled",K8&lt;&gt;"not enrolled",M8&lt;&gt;"not enrolled")),(G25/2),IF((AND(I8="not enrolled",K8="not enrolled",M8&lt;&gt;"not enrolled")),(G25),0)))</f>
        <v>0</v>
      </c>
    </row>
    <row r="26" spans="2:14" ht="21.75" customHeight="1" x14ac:dyDescent="0.25">
      <c r="B26" s="95" t="s">
        <v>44</v>
      </c>
      <c r="C26" s="95"/>
      <c r="D26" s="95"/>
      <c r="E26" s="95"/>
      <c r="F26" s="95"/>
      <c r="G26" s="10"/>
      <c r="H26" s="9"/>
      <c r="I26" s="23"/>
      <c r="J26" s="9"/>
      <c r="K26" s="23"/>
      <c r="L26" s="28"/>
      <c r="M26" s="29"/>
      <c r="N26" s="9"/>
    </row>
    <row r="27" spans="2:14" ht="21.75" customHeight="1" x14ac:dyDescent="0.25">
      <c r="C27" s="12" t="s">
        <v>10</v>
      </c>
      <c r="G27" s="6">
        <f>SUM(G21:G26)</f>
        <v>0</v>
      </c>
      <c r="I27" s="6">
        <f>SUM(I21:I26)</f>
        <v>0</v>
      </c>
      <c r="K27" s="6">
        <f>SUM(K21:K25,K26)</f>
        <v>0</v>
      </c>
      <c r="M27" s="6">
        <f>SUM(M21:M25,M26)</f>
        <v>0</v>
      </c>
    </row>
    <row r="28" spans="2:14" ht="15.75" thickBot="1" x14ac:dyDescent="0.3"/>
    <row r="29" spans="2:14" ht="21.75" customHeight="1" thickTop="1" thickBot="1" x14ac:dyDescent="0.35">
      <c r="B29" s="19" t="s">
        <v>12</v>
      </c>
      <c r="C29" s="18"/>
      <c r="D29" s="18"/>
      <c r="E29" s="18"/>
      <c r="F29" s="18"/>
      <c r="G29" s="30" t="e">
        <f>G18-G27</f>
        <v>#N/A</v>
      </c>
      <c r="H29" s="31"/>
      <c r="I29" s="30" t="e">
        <f>I18-I27</f>
        <v>#N/A</v>
      </c>
      <c r="J29" s="31"/>
      <c r="K29" s="30" t="e">
        <f>K18-K27</f>
        <v>#N/A</v>
      </c>
      <c r="L29" s="30"/>
      <c r="M29" s="30" t="e">
        <f>M18-M27</f>
        <v>#N/A</v>
      </c>
      <c r="N29" s="18"/>
    </row>
    <row r="30" spans="2:14" ht="15.75" thickTop="1" x14ac:dyDescent="0.25"/>
    <row r="31" spans="2:14" x14ac:dyDescent="0.25">
      <c r="B31" s="12" t="s">
        <v>13</v>
      </c>
    </row>
    <row r="32" spans="2:14" ht="36.75" customHeight="1" x14ac:dyDescent="0.25">
      <c r="B32" s="90" t="s">
        <v>50</v>
      </c>
      <c r="C32" s="90"/>
      <c r="D32" s="90"/>
      <c r="E32" s="90"/>
      <c r="F32" s="90"/>
      <c r="G32" s="90"/>
      <c r="H32" s="90"/>
      <c r="I32" s="90"/>
      <c r="J32" s="90"/>
      <c r="K32" s="90"/>
      <c r="L32" s="90"/>
      <c r="M32" s="90"/>
      <c r="N32" s="90"/>
    </row>
    <row r="33" spans="2:14" ht="21.75" customHeight="1" x14ac:dyDescent="0.25">
      <c r="B33" s="91" t="s">
        <v>20</v>
      </c>
      <c r="C33" s="91"/>
      <c r="D33" s="91"/>
      <c r="E33" s="91"/>
      <c r="F33" s="91"/>
      <c r="G33" s="91"/>
      <c r="H33" s="91"/>
      <c r="I33" s="91"/>
      <c r="J33" s="91"/>
      <c r="K33" s="91"/>
      <c r="L33" s="91"/>
      <c r="M33" s="91"/>
      <c r="N33" s="91"/>
    </row>
    <row r="34" spans="2:14" ht="21.75" customHeight="1" x14ac:dyDescent="0.25">
      <c r="B34" t="s">
        <v>25</v>
      </c>
    </row>
    <row r="35" spans="2:14" ht="51" customHeight="1" x14ac:dyDescent="0.25">
      <c r="B35" s="90" t="s">
        <v>26</v>
      </c>
      <c r="C35" s="90"/>
      <c r="D35" s="90"/>
      <c r="E35" s="90"/>
      <c r="F35" s="90"/>
      <c r="G35" s="90"/>
      <c r="H35" s="90"/>
      <c r="I35" s="90"/>
      <c r="J35" s="90"/>
      <c r="K35" s="90"/>
      <c r="L35" s="90"/>
      <c r="M35" s="90"/>
      <c r="N35" s="90"/>
    </row>
    <row r="36" spans="2:14" ht="21.75" customHeight="1" x14ac:dyDescent="0.25"/>
    <row r="38" spans="2:14" x14ac:dyDescent="0.25">
      <c r="B38" s="82" t="s">
        <v>14</v>
      </c>
      <c r="C38" s="82"/>
      <c r="D38" s="82"/>
      <c r="E38" s="82"/>
      <c r="F38" s="82"/>
      <c r="G38" s="82"/>
      <c r="H38" s="82"/>
      <c r="I38" s="82"/>
      <c r="J38" s="82"/>
      <c r="K38" s="82"/>
      <c r="L38" s="82"/>
      <c r="M38" s="82"/>
      <c r="N38" s="82"/>
    </row>
  </sheetData>
  <sheetProtection sheet="1" selectLockedCells="1"/>
  <mergeCells count="9">
    <mergeCell ref="B35:N35"/>
    <mergeCell ref="B38:N38"/>
    <mergeCell ref="G5:H5"/>
    <mergeCell ref="G2:N2"/>
    <mergeCell ref="C12:D12"/>
    <mergeCell ref="B26:F26"/>
    <mergeCell ref="B32:N32"/>
    <mergeCell ref="B33:N33"/>
    <mergeCell ref="B16:D16"/>
  </mergeCells>
  <hyperlinks>
    <hyperlink ref="B16" r:id="rId1" display="Will you enroll in DU's health insurance plan?"/>
    <hyperlink ref="B17" r:id="rId2" display="Will you use DU Health &amp; Counseling Services? "/>
  </hyperlinks>
  <pageMargins left="0.5" right="0.5" top="0.5" bottom="0.5" header="0.3" footer="0.3"/>
  <pageSetup scale="72" orientation="portrait" r:id="rId3"/>
  <drawing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Data!$A$55:$A$72</xm:f>
          </x14:formula1>
          <xm:sqref>K8</xm:sqref>
        </x14:dataValidation>
        <x14:dataValidation type="list" allowBlank="1" showInputMessage="1" showErrorMessage="1">
          <x14:formula1>
            <xm:f>Data!$A$55:$A$72</xm:f>
          </x14:formula1>
          <xm:sqref>I8</xm:sqref>
        </x14:dataValidation>
        <x14:dataValidation type="list" allowBlank="1" showInputMessage="1" showErrorMessage="1">
          <x14:formula1>
            <xm:f>Data!$A$24:$A$25</xm:f>
          </x14:formula1>
          <xm:sqref>E16:E17</xm:sqref>
        </x14:dataValidation>
        <x14:dataValidation type="list" allowBlank="1" showInputMessage="1" showErrorMessage="1">
          <x14:formula1>
            <xm:f>Data!$A$50:$A$51</xm:f>
          </x14:formula1>
          <xm:sqref>G5</xm:sqref>
        </x14:dataValidation>
        <x14:dataValidation type="list" allowBlank="1" showInputMessage="1" showErrorMessage="1">
          <x14:formula1>
            <xm:f>Data!$A$55:$A$72</xm:f>
          </x14:formula1>
          <xm:sqref>M8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showRowColHeaders="0" showRuler="0" zoomScaleNormal="100" workbookViewId="0">
      <selection activeCell="G5" sqref="G5:I5"/>
    </sheetView>
  </sheetViews>
  <sheetFormatPr defaultRowHeight="15" x14ac:dyDescent="0.25"/>
  <cols>
    <col min="1" max="1" width="4.140625" customWidth="1"/>
    <col min="4" max="4" width="26.140625" customWidth="1"/>
    <col min="5" max="5" width="13.85546875" customWidth="1"/>
    <col min="6" max="6" width="4.28515625" customWidth="1"/>
    <col min="7" max="7" width="15" style="6" customWidth="1"/>
    <col min="8" max="8" width="2.85546875" customWidth="1"/>
    <col min="9" max="9" width="15" style="6" customWidth="1"/>
    <col min="10" max="10" width="2.85546875" customWidth="1"/>
    <col min="11" max="11" width="15" style="6" customWidth="1"/>
    <col min="12" max="12" width="2.85546875" style="6" customWidth="1"/>
    <col min="13" max="13" width="15" style="6" customWidth="1"/>
    <col min="14" max="14" width="2.85546875" style="6" customWidth="1"/>
    <col min="15" max="15" width="15" style="6" customWidth="1"/>
  </cols>
  <sheetData>
    <row r="1" spans="2:15" ht="17.25" customHeight="1" x14ac:dyDescent="0.25"/>
    <row r="2" spans="2:15" ht="47.25" customHeight="1" x14ac:dyDescent="0.35">
      <c r="G2" s="83" t="s">
        <v>78</v>
      </c>
      <c r="H2" s="83"/>
      <c r="I2" s="83"/>
      <c r="J2" s="83"/>
      <c r="K2" s="83"/>
      <c r="L2" s="83"/>
      <c r="M2" s="83"/>
      <c r="N2" s="83"/>
      <c r="O2" s="83"/>
    </row>
    <row r="3" spans="2:15" ht="8.25" customHeight="1" x14ac:dyDescent="0.25">
      <c r="B3" s="24"/>
      <c r="C3" s="24"/>
      <c r="D3" s="24"/>
      <c r="E3" s="24"/>
      <c r="F3" s="24"/>
      <c r="G3" s="25"/>
      <c r="H3" s="26"/>
      <c r="I3" s="26"/>
      <c r="J3" s="26"/>
      <c r="K3" s="26"/>
      <c r="L3" s="26"/>
      <c r="M3" s="26"/>
      <c r="N3" s="26"/>
      <c r="O3" s="26"/>
    </row>
    <row r="4" spans="2:15" ht="9.75" customHeight="1" x14ac:dyDescent="0.25"/>
    <row r="5" spans="2:15" ht="18" customHeight="1" x14ac:dyDescent="0.3">
      <c r="B5" s="8" t="s">
        <v>23</v>
      </c>
      <c r="D5" s="35"/>
      <c r="E5" s="35"/>
      <c r="F5" s="35"/>
      <c r="G5" s="93"/>
      <c r="H5" s="97"/>
      <c r="I5" s="94"/>
    </row>
    <row r="6" spans="2:15" ht="9.75" customHeight="1" x14ac:dyDescent="0.25"/>
    <row r="7" spans="2:15" ht="15" customHeight="1" thickBot="1" x14ac:dyDescent="0.3">
      <c r="I7" s="44" t="s">
        <v>137</v>
      </c>
      <c r="J7" s="47"/>
      <c r="K7" s="44" t="s">
        <v>138</v>
      </c>
      <c r="L7" s="48"/>
      <c r="M7" s="44" t="s">
        <v>139</v>
      </c>
      <c r="N7" s="48"/>
      <c r="O7" s="44" t="s">
        <v>140</v>
      </c>
    </row>
    <row r="8" spans="2:15" ht="18" customHeight="1" x14ac:dyDescent="0.3">
      <c r="C8" s="8" t="s">
        <v>73</v>
      </c>
      <c r="E8" s="35"/>
      <c r="F8" s="35"/>
      <c r="G8" s="35"/>
      <c r="H8" s="35"/>
      <c r="I8" s="49"/>
      <c r="K8" s="70"/>
      <c r="L8"/>
      <c r="M8" s="71"/>
      <c r="N8"/>
      <c r="O8" s="71"/>
    </row>
    <row r="9" spans="2:15" ht="18.75" customHeight="1" x14ac:dyDescent="0.25"/>
    <row r="10" spans="2:15" ht="15.75" thickBot="1" x14ac:dyDescent="0.3">
      <c r="B10" s="1" t="s">
        <v>7</v>
      </c>
      <c r="C10" s="2"/>
      <c r="D10" s="2"/>
      <c r="E10" s="2"/>
      <c r="F10" s="2"/>
      <c r="G10" s="5" t="s">
        <v>3</v>
      </c>
      <c r="H10" s="4"/>
      <c r="I10" s="5" t="s">
        <v>93</v>
      </c>
      <c r="J10" s="4"/>
      <c r="K10" s="5" t="s">
        <v>94</v>
      </c>
      <c r="L10" s="5"/>
      <c r="M10" s="5" t="s">
        <v>95</v>
      </c>
      <c r="N10" s="5"/>
      <c r="O10" s="5" t="s">
        <v>141</v>
      </c>
    </row>
    <row r="11" spans="2:15" ht="9" customHeight="1" x14ac:dyDescent="0.25"/>
    <row r="12" spans="2:15" ht="21.75" customHeight="1" x14ac:dyDescent="0.25">
      <c r="B12" s="14" t="s">
        <v>1</v>
      </c>
      <c r="C12" s="89"/>
      <c r="D12" s="89"/>
      <c r="E12" s="15"/>
      <c r="F12" s="15"/>
      <c r="G12" s="16">
        <f>I12+K12+M12+O12</f>
        <v>0</v>
      </c>
      <c r="H12" s="15"/>
      <c r="I12" s="16">
        <f>IF((OR(G5="2018 Fall Quarter", G5="2019 Spring Quarter")), (VLOOKUP(I8, Data!F59:H76, 2, FALSE)), IF((OR(G5="2019 Fall Quarter", G5="2020 Spring Quarter")), (VLOOKUP(I8, Data!F59:H76, 3, FALSE)), 0))</f>
        <v>0</v>
      </c>
      <c r="J12" s="15"/>
      <c r="K12" s="16">
        <f>IF((OR(G5="2018 Fall Quarter", G5="2019 Spring Quarter")), (VLOOKUP(K8, Data!F59:H76, 2, FALSE)), IF((OR(G5="2019 Fall Quarter", G5="2020 Spring Quarter")), (VLOOKUP(K8, Data!F59:H76, 3, FALSE)), 0))</f>
        <v>0</v>
      </c>
      <c r="L12" s="16"/>
      <c r="M12" s="16">
        <f>IF((OR(G5="2018 Fall Quarter", G5="2019 Spring Quarter")), (VLOOKUP(M8, Data!F59:H76, 2, FALSE)), IF((OR(G5="2019 Fall Quarter", G5="2020 Spring Quarter")), (VLOOKUP(M8, Data!F59:H76, 3, FALSE)), 0))</f>
        <v>0</v>
      </c>
      <c r="N12" s="16"/>
      <c r="O12" s="16">
        <f>IF((OR(G5="2018 Fall Quarter", G5="2019 Spring Quarter")), (VLOOKUP(O8, Data!F59:H76, 2, FALSE)), IF((OR(G5="2019 Fall Quarter", G5="2020 Spring Quarter")), (VLOOKUP(O8, Data!F59:H76, 3, FALSE)), 0))</f>
        <v>0</v>
      </c>
    </row>
    <row r="13" spans="2:15" ht="21.75" customHeight="1" x14ac:dyDescent="0.25">
      <c r="B13" s="50" t="s">
        <v>2</v>
      </c>
      <c r="C13" s="51"/>
      <c r="D13" s="51"/>
      <c r="E13" s="51"/>
      <c r="F13" s="51"/>
      <c r="G13" s="52" t="e">
        <f>I13+K13+M13+O13</f>
        <v>#N/A</v>
      </c>
      <c r="H13" s="51"/>
      <c r="I13" s="52" t="e">
        <f>VLOOKUP(I8,Data!F59:I76,4,FALSE)</f>
        <v>#N/A</v>
      </c>
      <c r="J13" s="51"/>
      <c r="K13" s="52" t="e">
        <f>VLOOKUP(K8,Data!F59:I76,4,FALSE)</f>
        <v>#N/A</v>
      </c>
      <c r="L13" s="52"/>
      <c r="M13" s="52" t="e">
        <f>VLOOKUP(M8,Data!F59:I76,4,FALSE)</f>
        <v>#N/A</v>
      </c>
      <c r="N13" s="52"/>
      <c r="O13" s="52" t="e">
        <f>VLOOKUP(O8,Data!F59:I76,4,FALSE)</f>
        <v>#N/A</v>
      </c>
    </row>
    <row r="14" spans="2:15" ht="21.75" customHeight="1" x14ac:dyDescent="0.25">
      <c r="B14" s="102" t="s">
        <v>154</v>
      </c>
      <c r="C14" s="102"/>
      <c r="D14" s="103"/>
      <c r="E14" s="38"/>
      <c r="F14" s="36"/>
      <c r="G14" s="37">
        <f>I14+K14+M14+O14</f>
        <v>0</v>
      </c>
      <c r="H14" s="36"/>
      <c r="I14" s="37">
        <f>IF(AND(I8&lt;&gt;"not enrolled", E14="Yes"), (VLOOKUP(E14, Data!A24:C25, 2, FALSE)), 0)</f>
        <v>0</v>
      </c>
      <c r="J14" s="36"/>
      <c r="K14" s="37">
        <v>0</v>
      </c>
      <c r="L14" s="37"/>
      <c r="M14" s="37">
        <f>IF(AND(M8&lt;&gt;"not enrolled", E14="Yes"), (VLOOKUP(E14, Data!A24:C25, 2, FALSE)), 0)</f>
        <v>0</v>
      </c>
      <c r="N14" s="36"/>
      <c r="O14" s="53">
        <v>0</v>
      </c>
    </row>
    <row r="15" spans="2:15" s="32" customFormat="1" ht="21.75" customHeight="1" x14ac:dyDescent="0.25">
      <c r="B15" s="104" t="s">
        <v>153</v>
      </c>
      <c r="C15" s="104"/>
      <c r="D15" s="105"/>
      <c r="E15" s="101"/>
      <c r="F15" s="39"/>
      <c r="G15" s="40">
        <f>I15+K15+M15+O15</f>
        <v>0</v>
      </c>
      <c r="H15" s="39"/>
      <c r="I15" s="40">
        <f>IF(AND(I8&lt;&gt;"not enrolled", E15="Yes"), (VLOOKUP(E15, Data!A24:C25, 3, FALSE)), 0)</f>
        <v>0</v>
      </c>
      <c r="J15" s="39"/>
      <c r="K15" s="40">
        <f>IF(AND(K8&lt;&gt;"not enrolled", E15="Yes"), (VLOOKUP(E15, Data!A24:C25, 3, FALSE)), 0)</f>
        <v>0</v>
      </c>
      <c r="L15" s="40"/>
      <c r="M15" s="40">
        <f>IF(AND(M8&lt;&gt;"not enrolled", E15="Yes"), (VLOOKUP(E15, Data!A24:C25, 3, FALSE)), 0)</f>
        <v>0</v>
      </c>
      <c r="N15" s="39"/>
      <c r="O15" s="54">
        <f>IF(AND(O8&lt;&gt;"not enrolled", E15="Yes"), (VLOOKUP(E15, Data!A24:C25, 3, FALSE)), 0)</f>
        <v>0</v>
      </c>
    </row>
    <row r="16" spans="2:15" ht="21.75" customHeight="1" x14ac:dyDescent="0.25">
      <c r="C16" s="12" t="s">
        <v>6</v>
      </c>
      <c r="G16" s="13" t="e">
        <f>SUM(G12:G15)</f>
        <v>#N/A</v>
      </c>
      <c r="I16" s="13" t="e">
        <f>SUM(I12:I15)</f>
        <v>#N/A</v>
      </c>
      <c r="K16" s="13" t="e">
        <f>SUM(K12:K15)</f>
        <v>#N/A</v>
      </c>
      <c r="L16" s="13"/>
      <c r="M16" s="13" t="e">
        <f>SUM(M12:M15)</f>
        <v>#N/A</v>
      </c>
      <c r="N16" s="13"/>
      <c r="O16" s="13" t="e">
        <f>SUM(O12:O15)</f>
        <v>#N/A</v>
      </c>
    </row>
    <row r="17" spans="2:15" ht="24" customHeight="1" x14ac:dyDescent="0.25"/>
    <row r="18" spans="2:15" ht="15.75" thickBot="1" x14ac:dyDescent="0.3">
      <c r="B18" s="1" t="s">
        <v>11</v>
      </c>
      <c r="C18" s="2"/>
      <c r="D18" s="2"/>
      <c r="E18" s="2"/>
      <c r="F18" s="2"/>
      <c r="G18" s="5" t="s">
        <v>3</v>
      </c>
      <c r="H18" s="4"/>
      <c r="I18" s="5" t="s">
        <v>93</v>
      </c>
      <c r="J18" s="4"/>
      <c r="K18" s="5" t="s">
        <v>94</v>
      </c>
      <c r="L18" s="5"/>
      <c r="M18" s="5" t="s">
        <v>95</v>
      </c>
      <c r="N18" s="5"/>
      <c r="O18" s="5" t="s">
        <v>141</v>
      </c>
    </row>
    <row r="19" spans="2:15" ht="21.75" customHeight="1" x14ac:dyDescent="0.25">
      <c r="B19" t="s">
        <v>16</v>
      </c>
      <c r="G19" s="20"/>
      <c r="I19" s="6">
        <f>IF((AND(I8&lt;&gt;"not enrolled",K8&lt;&gt;"not enrolled",M8&lt;&gt;"not enrolled",O8&lt;&gt;"not enrolled")),(G19/4), IF((AND(I8&lt;&gt;"not enrolled",K8&lt;&gt;"not enrolled",M8&lt;&gt;"not enrolled",O8="not enrolled")),(G19/3), IF((AND(I8&lt;&gt;"not enrolled",K8&lt;&gt;"not enrolled",M8="not enrolled",O8="not enrolled")),(G19/2), IF((AND(I8&lt;&gt;"not enrolled",K8="not enrolled",M8="not enrolled",O8="not enrolled")),(G19/1), 0))))</f>
        <v>0</v>
      </c>
      <c r="K19" s="6">
        <f>IF((AND(I8&lt;&gt;"not enrolled",K8&lt;&gt;"not enrolled",M8&lt;&gt;"not enrolled",O8&lt;&gt;"not enrolled")),(G19/4), IF((AND(I8&lt;&gt;"not enrolled",K8&lt;&gt;"not enrolled",M8&lt;&gt;"not enrolled",O8="not enrolled")),(G19/3), IF((AND(I8="not enrolled",K8&lt;&gt;"not enrolled",M8&lt;&gt;"not enrolled",O8&lt;&gt;"not enrolled")),(G19/3), IF((AND(I8&lt;&gt;"not enrolled",K8&lt;&gt;"not enrolled",M8="not enrolled",O8="not enrolled")),(G19/2), 0))))</f>
        <v>0</v>
      </c>
      <c r="M19" s="6">
        <f>IF((AND(I8&lt;&gt;"not enrolled",K8&lt;&gt;"not enrolled",M8&lt;&gt;"not enrolled",O8&lt;&gt;"not enrolled")),(G19/4), IF((AND(I8&lt;&gt;"not enrolled",K8&lt;&gt;"not enrolled",M8&lt;&gt;"not enrolled",O8="not enrolled")),(G19/3), IF((AND(I8="not enrolled",K8&lt;&gt;"not enrolled",M8&lt;&gt;"not enrolled",O8&lt;&gt;"not enrolled")),(G19/3), IF((AND(I8="not enrolled",K8="not enrolled",M8&lt;&gt;"not enrolled",O8&lt;&gt;"not enrolled")),(G19/2), 0))))</f>
        <v>0</v>
      </c>
      <c r="O19" s="6">
        <f>IF((AND(I8&lt;&gt;"not enrolled",K8&lt;&gt;"not enrolled",M8&lt;&gt;"not enrolled",O8&lt;&gt;"not enrolled")),(G19/4), IF((AND(I8="not enrolled",K8&lt;&gt;"not enrolled",M8&lt;&gt;"not enrolled",O8&lt;&gt;"not enrolled")),(G19/3), IF((AND(I8="not enrolled",K8="not enrolled",M8&lt;&gt;"not enrolled",O8&lt;&gt;"not enrolled")),(G19/2),  IF((AND(I8="not enrolled",K8="not enrolled",M8="not enrolled",O8&lt;&gt;"not enrolled")),(G19), 0))))</f>
        <v>0</v>
      </c>
    </row>
    <row r="20" spans="2:15" ht="21.75" customHeight="1" x14ac:dyDescent="0.25">
      <c r="B20" s="15" t="s">
        <v>8</v>
      </c>
      <c r="C20" s="15"/>
      <c r="D20" s="15"/>
      <c r="E20" s="15"/>
      <c r="F20" s="15"/>
      <c r="G20" s="21"/>
      <c r="H20" s="15"/>
      <c r="I20" s="16">
        <f>IF((AND(I8&lt;&gt;"not enrolled",K8&lt;&gt;"not enrolled",M8&lt;&gt;"not enrolled",O8&lt;&gt;"not enrolled")),(G20/4), IF((AND(I8&lt;&gt;"not enrolled",K8&lt;&gt;"not enrolled",M8&lt;&gt;"not enrolled",O8="not enrolled")),(G20/3), IF((AND(I8&lt;&gt;"not enrolled",K8&lt;&gt;"not enrolled",M8="not enrolled",O8="not enrolled")),(G20/2), IF((AND(I8&lt;&gt;"not enrolled",K8="not enrolled",M8="not enrolled",O8="not enrolled")),(G20/1), 0))))</f>
        <v>0</v>
      </c>
      <c r="J20" s="15"/>
      <c r="K20" s="16">
        <f>IF((AND(I8&lt;&gt;"not enrolled",K8&lt;&gt;"not enrolled",M8&lt;&gt;"not enrolled",O8&lt;&gt;"not enrolled")),(G20/4), IF((AND(I8&lt;&gt;"not enrolled",K8&lt;&gt;"not enrolled",M8&lt;&gt;"not enrolled",O8="not enrolled")),(G20/3), IF((AND(I8="not enrolled",K8&lt;&gt;"not enrolled",M8&lt;&gt;"not enrolled",O8&lt;&gt;"not enrolled")),(G20/3), IF((AND(I8&lt;&gt;"not enrolled",K8&lt;&gt;"not enrolled",M8="not enrolled",O8="not enrolled")),(G20/2), 0))))</f>
        <v>0</v>
      </c>
      <c r="L20" s="16"/>
      <c r="M20" s="16">
        <f>IF((AND(I8&lt;&gt;"not enrolled",K8&lt;&gt;"not enrolled",M8&lt;&gt;"not enrolled",O8&lt;&gt;"not enrolled")),(G20/4), IF((AND(I8&lt;&gt;"not enrolled",K8&lt;&gt;"not enrolled",M8&lt;&gt;"not enrolled",O8="not enrolled")),(G20/3), IF((AND(I8="not enrolled",K8&lt;&gt;"not enrolled",M8&lt;&gt;"not enrolled",O8&lt;&gt;"not enrolled")),(G20/3), IF((AND(I8="not enrolled",K8="not enrolled",M8&lt;&gt;"not enrolled",O8&lt;&gt;"not enrolled")),(G20/2), 0))))</f>
        <v>0</v>
      </c>
      <c r="N20" s="16"/>
      <c r="O20" s="16">
        <f>IF((AND(I8&lt;&gt;"not enrolled",K8&lt;&gt;"not enrolled",M8&lt;&gt;"not enrolled",O8&lt;&gt;"not enrolled")),(G20/4), IF((AND(I8="not enrolled",K8&lt;&gt;"not enrolled",M8&lt;&gt;"not enrolled",O8&lt;&gt;"not enrolled")),(G20/3), IF((AND(I8="not enrolled",K8="not enrolled",M8&lt;&gt;"not enrolled",O8&lt;&gt;"not enrolled")),(G20/2),  IF((AND(I8="not enrolled",K8="not enrolled",M8="not enrolled",O8&lt;&gt;"not enrolled")),(G20), 0))))</f>
        <v>0</v>
      </c>
    </row>
    <row r="21" spans="2:15" ht="21.75" customHeight="1" x14ac:dyDescent="0.25">
      <c r="B21" t="s">
        <v>21</v>
      </c>
      <c r="E21" s="22"/>
      <c r="G21" s="6">
        <f>E21-(E21*0.01062)</f>
        <v>0</v>
      </c>
      <c r="I21" s="6">
        <f>IF((AND(I8&lt;&gt;"not enrolled",K8&lt;&gt;"not enrolled",M8&lt;&gt;"not enrolled",O8&lt;&gt;"not enrolled")),(G21/4), IF((AND(I8&lt;&gt;"not enrolled",K8&lt;&gt;"not enrolled",M8&lt;&gt;"not enrolled",O8="not enrolled")),(G21/3), IF((AND(I8&lt;&gt;"not enrolled",K8&lt;&gt;"not enrolled",M8="not enrolled",O8="not enrolled")),(G21/2), IF((AND(I8&lt;&gt;"not enrolled",K8="not enrolled",M8="not enrolled",O8="not enrolled")),(G21/1), 0))))</f>
        <v>0</v>
      </c>
      <c r="K21" s="6">
        <f>IF((AND(I8&lt;&gt;"not enrolled",K8&lt;&gt;"not enrolled",M8&lt;&gt;"not enrolled",O8&lt;&gt;"not enrolled")),(G21/4), IF((AND(I8&lt;&gt;"not enrolled",K8&lt;&gt;"not enrolled",M8&lt;&gt;"not enrolled",O8="not enrolled")),(G21/3), IF((AND(I8="not enrolled",K8&lt;&gt;"not enrolled",M8&lt;&gt;"not enrolled",O8&lt;&gt;"not enrolled")),(G21/3), IF((AND(I8&lt;&gt;"not enrolled",K8&lt;&gt;"not enrolled",M8="not enrolled",O8="not enrolled")),(G21/2), 0))))</f>
        <v>0</v>
      </c>
      <c r="M21" s="6">
        <f>IF((AND(I8&lt;&gt;"not enrolled",K8&lt;&gt;"not enrolled",M8&lt;&gt;"not enrolled",O8&lt;&gt;"not enrolled")),(G21/4), IF((AND(I8&lt;&gt;"not enrolled",K8&lt;&gt;"not enrolled",M8&lt;&gt;"not enrolled",O8="not enrolled")),(G21/3), IF((AND(I8="not enrolled",K8&lt;&gt;"not enrolled",M8&lt;&gt;"not enrolled",O8&lt;&gt;"not enrolled")),(G21/3), IF((AND(I8="not enrolled",K8="not enrolled",M8&lt;&gt;"not enrolled",O8&lt;&gt;"not enrolled")),(G21/2), 0))))</f>
        <v>0</v>
      </c>
      <c r="O21" s="6">
        <f>IF((AND(I8&lt;&gt;"not enrolled",K8&lt;&gt;"not enrolled",M8&lt;&gt;"not enrolled",O8&lt;&gt;"not enrolled")),(G21/4), IF((AND(I8="not enrolled",K8&lt;&gt;"not enrolled",M8&lt;&gt;"not enrolled",O8&lt;&gt;"not enrolled")),(G21/3), IF((AND(I8="not enrolled",K8="not enrolled",M8&lt;&gt;"not enrolled",O8&lt;&gt;"not enrolled")),(G21/2),  IF((AND(I8="not enrolled",K8="not enrolled",M8="not enrolled",O8&lt;&gt;"not enrolled")),(G21), 0))))</f>
        <v>0</v>
      </c>
    </row>
    <row r="22" spans="2:15" ht="21.75" customHeight="1" x14ac:dyDescent="0.25">
      <c r="B22" s="15" t="s">
        <v>22</v>
      </c>
      <c r="C22" s="15"/>
      <c r="D22" s="15"/>
      <c r="E22" s="22"/>
      <c r="F22" s="15"/>
      <c r="G22" s="16">
        <f>E22-(E22*0.04248)</f>
        <v>0</v>
      </c>
      <c r="H22" s="15"/>
      <c r="I22" s="16">
        <f>IF((AND(I8&lt;&gt;"not enrolled",K8&lt;&gt;"not enrolled",M8&lt;&gt;"not enrolled",O8&lt;&gt;"not enrolled")),(G22/4), IF((AND(I8&lt;&gt;"not enrolled",K8&lt;&gt;"not enrolled",M8&lt;&gt;"not enrolled",O8="not enrolled")),(G22/3), IF((AND(I8&lt;&gt;"not enrolled",K8&lt;&gt;"not enrolled",M8="not enrolled",O8="not enrolled")),(G22/2), IF((AND(I8&lt;&gt;"not enrolled",K8="not enrolled",M8="not enrolled",O8="not enrolled")),(G22/1), 0))))</f>
        <v>0</v>
      </c>
      <c r="J22" s="15"/>
      <c r="K22" s="16">
        <f>IF((AND(I8&lt;&gt;"not enrolled",K8&lt;&gt;"not enrolled",M8&lt;&gt;"not enrolled",O8&lt;&gt;"not enrolled")),(G22/4), IF((AND(I8&lt;&gt;"not enrolled",K8&lt;&gt;"not enrolled",M8&lt;&gt;"not enrolled",O8="not enrolled")),(G22/3), IF((AND(I8="not enrolled",K8&lt;&gt;"not enrolled",M8&lt;&gt;"not enrolled",O8&lt;&gt;"not enrolled")),(G22/3), IF((AND(I8&lt;&gt;"not enrolled",K8&lt;&gt;"not enrolled",M8="not enrolled",O8="not enrolled")),(G22/2), 0))))</f>
        <v>0</v>
      </c>
      <c r="L22" s="16"/>
      <c r="M22" s="16">
        <f>IF((AND(I8&lt;&gt;"not enrolled",K8&lt;&gt;"not enrolled",M8&lt;&gt;"not enrolled",O8&lt;&gt;"not enrolled")),(G22/4), IF((AND(I8&lt;&gt;"not enrolled",K8&lt;&gt;"not enrolled",M8&lt;&gt;"not enrolled",O8="not enrolled")),(G22/3), IF((AND(I8="not enrolled",K8&lt;&gt;"not enrolled",M8&lt;&gt;"not enrolled",O8&lt;&gt;"not enrolled")),(G22/3), IF((AND(I8="not enrolled",K8="not enrolled",M8&lt;&gt;"not enrolled",O8&lt;&gt;"not enrolled")),(G22/2), 0))))</f>
        <v>0</v>
      </c>
      <c r="N22" s="16"/>
      <c r="O22" s="16">
        <f>IF((AND(I8&lt;&gt;"not enrolled",K8&lt;&gt;"not enrolled",M8&lt;&gt;"not enrolled",O8&lt;&gt;"not enrolled")),(G22/4), IF((AND(I8="not enrolled",K8&lt;&gt;"not enrolled",M8&lt;&gt;"not enrolled",O8&lt;&gt;"not enrolled")),(G22/3), IF((AND(I8="not enrolled",K8="not enrolled",M8&lt;&gt;"not enrolled",O8&lt;&gt;"not enrolled")),(G22/2),  IF((AND(I8="not enrolled",K8="not enrolled",M8="not enrolled",O8&lt;&gt;"not enrolled")),(G22), 0))))</f>
        <v>0</v>
      </c>
    </row>
    <row r="23" spans="2:15" ht="21.75" customHeight="1" x14ac:dyDescent="0.25">
      <c r="B23" t="s">
        <v>9</v>
      </c>
      <c r="G23" s="21"/>
      <c r="I23" s="6">
        <f>IF((AND(I8&lt;&gt;"not enrolled",K8&lt;&gt;"not enrolled",M8&lt;&gt;"not enrolled",O8&lt;&gt;"not enrolled")),(G23/4), IF((AND(I8&lt;&gt;"not enrolled",K8&lt;&gt;"not enrolled",M8&lt;&gt;"not enrolled",O8="not enrolled")),(G23/3), IF((AND(I8&lt;&gt;"not enrolled",K8&lt;&gt;"not enrolled",M8="not enrolled",O8="not enrolled")),(G23/2), IF((AND(I8&lt;&gt;"not enrolled",K8="not enrolled",M8="not enrolled",O8="not enrolled")),(G23/1), 0))))</f>
        <v>0</v>
      </c>
      <c r="K23" s="6">
        <f>IF((AND(I8&lt;&gt;"not enrolled",K8&lt;&gt;"not enrolled",M8&lt;&gt;"not enrolled",O8&lt;&gt;"not enrolled")),(G23/4), IF((AND(I8&lt;&gt;"not enrolled",K8&lt;&gt;"not enrolled",M8&lt;&gt;"not enrolled",O8="not enrolled")),(G23/3), IF((AND(I8="not enrolled",K8&lt;&gt;"not enrolled",M8&lt;&gt;"not enrolled",O8&lt;&gt;"not enrolled")),(G23/3), IF((AND(I8&lt;&gt;"not enrolled",K8&lt;&gt;"not enrolled",M8="not enrolled",O8="not enrolled")),(G23/2), 0))))</f>
        <v>0</v>
      </c>
      <c r="M23" s="6">
        <f>IF((AND(I8&lt;&gt;"not enrolled",K8&lt;&gt;"not enrolled",M8&lt;&gt;"not enrolled",O8&lt;&gt;"not enrolled")),(G23/4), IF((AND(I8&lt;&gt;"not enrolled",K8&lt;&gt;"not enrolled",M8&lt;&gt;"not enrolled",O8="not enrolled")),(G23/3), IF((AND(I8="not enrolled",K8&lt;&gt;"not enrolled",M8&lt;&gt;"not enrolled",O8&lt;&gt;"not enrolled")),(G23/3), IF((AND(I8="not enrolled",K8="not enrolled",M8&lt;&gt;"not enrolled",O8&lt;&gt;"not enrolled")),(G23/2), 0))))</f>
        <v>0</v>
      </c>
      <c r="O23" s="6">
        <f>IF((AND(I8&lt;&gt;"not enrolled",K8&lt;&gt;"not enrolled",M8&lt;&gt;"not enrolled",O8&lt;&gt;"not enrolled")),(G23/4), IF((AND(I8="not enrolled",K8&lt;&gt;"not enrolled",M8&lt;&gt;"not enrolled",O8&lt;&gt;"not enrolled")),(G23/3), IF((AND(I8="not enrolled",K8="not enrolled",M8&lt;&gt;"not enrolled",O8&lt;&gt;"not enrolled")),(G23/2),  IF((AND(I8="not enrolled",K8="not enrolled",M8="not enrolled",O8&lt;&gt;"not enrolled")),(G23), 0))))</f>
        <v>0</v>
      </c>
    </row>
    <row r="24" spans="2:15" ht="21.75" customHeight="1" x14ac:dyDescent="0.25">
      <c r="B24" s="92" t="s">
        <v>44</v>
      </c>
      <c r="C24" s="92"/>
      <c r="D24" s="92"/>
      <c r="E24" s="92"/>
      <c r="F24" s="92"/>
      <c r="G24" s="34">
        <f>I24+K24+M24+O24</f>
        <v>0</v>
      </c>
      <c r="H24" s="33"/>
      <c r="I24" s="23"/>
      <c r="J24" s="33"/>
      <c r="K24" s="23"/>
      <c r="L24" s="41"/>
      <c r="M24" s="23"/>
      <c r="N24" s="41"/>
      <c r="O24" s="23"/>
    </row>
    <row r="25" spans="2:15" ht="21.75" customHeight="1" x14ac:dyDescent="0.25">
      <c r="C25" s="12" t="s">
        <v>10</v>
      </c>
      <c r="G25" s="6">
        <f>SUM(G19:G24)</f>
        <v>0</v>
      </c>
      <c r="I25" s="6">
        <f>SUM(I19:I24)</f>
        <v>0</v>
      </c>
      <c r="K25" s="6">
        <f>SUM(K19:K24)</f>
        <v>0</v>
      </c>
      <c r="M25" s="6">
        <f>SUM(M19:M24)</f>
        <v>0</v>
      </c>
      <c r="O25" s="6">
        <f>SUM(O19:O24)</f>
        <v>0</v>
      </c>
    </row>
    <row r="26" spans="2:15" ht="15.75" thickBot="1" x14ac:dyDescent="0.3"/>
    <row r="27" spans="2:15" ht="21.75" customHeight="1" thickTop="1" thickBot="1" x14ac:dyDescent="0.35">
      <c r="B27" s="19" t="s">
        <v>12</v>
      </c>
      <c r="C27" s="18"/>
      <c r="D27" s="18"/>
      <c r="E27" s="18"/>
      <c r="F27" s="18"/>
      <c r="G27" s="30" t="e">
        <f>G16-G25</f>
        <v>#N/A</v>
      </c>
      <c r="H27" s="31"/>
      <c r="I27" s="30" t="e">
        <f>I16-I25</f>
        <v>#N/A</v>
      </c>
      <c r="J27" s="31"/>
      <c r="K27" s="30" t="e">
        <f>K16-K25</f>
        <v>#N/A</v>
      </c>
      <c r="L27" s="30"/>
      <c r="M27" s="30" t="e">
        <f>M16-M25</f>
        <v>#N/A</v>
      </c>
      <c r="N27" s="30"/>
      <c r="O27" s="30" t="e">
        <f>O16-O25</f>
        <v>#N/A</v>
      </c>
    </row>
    <row r="28" spans="2:15" ht="15.75" thickTop="1" x14ac:dyDescent="0.25"/>
    <row r="29" spans="2:15" x14ac:dyDescent="0.25">
      <c r="B29" s="12" t="s">
        <v>13</v>
      </c>
    </row>
    <row r="30" spans="2:15" ht="37.5" customHeight="1" x14ac:dyDescent="0.25">
      <c r="B30" s="96" t="s">
        <v>75</v>
      </c>
      <c r="C30" s="90"/>
      <c r="D30" s="90"/>
      <c r="E30" s="90"/>
      <c r="F30" s="90"/>
      <c r="G30" s="90"/>
      <c r="H30" s="90"/>
      <c r="I30" s="90"/>
      <c r="J30" s="90"/>
      <c r="K30" s="90"/>
      <c r="L30" s="90"/>
      <c r="M30" s="90"/>
      <c r="N30" s="90"/>
      <c r="O30" s="90"/>
    </row>
    <row r="31" spans="2:15" ht="21.75" customHeight="1" x14ac:dyDescent="0.25">
      <c r="B31" s="91" t="s">
        <v>20</v>
      </c>
      <c r="C31" s="91"/>
      <c r="D31" s="91"/>
      <c r="E31" s="91"/>
      <c r="F31" s="91"/>
      <c r="G31" s="91"/>
      <c r="H31" s="91"/>
      <c r="I31" s="91"/>
      <c r="J31" s="91"/>
      <c r="K31" s="91"/>
      <c r="L31" s="91"/>
      <c r="M31" s="91"/>
      <c r="N31" s="91"/>
      <c r="O31" s="91"/>
    </row>
    <row r="32" spans="2:15" ht="21.75" customHeight="1" x14ac:dyDescent="0.25">
      <c r="B32" t="s">
        <v>25</v>
      </c>
    </row>
    <row r="33" spans="2:15" ht="51" customHeight="1" x14ac:dyDescent="0.25">
      <c r="B33" s="90" t="s">
        <v>26</v>
      </c>
      <c r="C33" s="90"/>
      <c r="D33" s="90"/>
      <c r="E33" s="90"/>
      <c r="F33" s="90"/>
      <c r="G33" s="90"/>
      <c r="H33" s="90"/>
      <c r="I33" s="90"/>
      <c r="J33" s="90"/>
      <c r="K33" s="90"/>
      <c r="L33" s="90"/>
      <c r="M33" s="90"/>
      <c r="N33" s="90"/>
      <c r="O33" s="90"/>
    </row>
    <row r="34" spans="2:15" ht="21.75" customHeight="1" x14ac:dyDescent="0.25"/>
    <row r="36" spans="2:15" x14ac:dyDescent="0.25">
      <c r="B36" s="82" t="s">
        <v>14</v>
      </c>
      <c r="C36" s="82"/>
      <c r="D36" s="82"/>
      <c r="E36" s="82"/>
      <c r="F36" s="82"/>
      <c r="G36" s="82"/>
      <c r="H36" s="82"/>
      <c r="I36" s="82"/>
      <c r="J36" s="82"/>
      <c r="K36" s="82"/>
      <c r="L36" s="82"/>
      <c r="M36" s="82"/>
      <c r="N36" s="82"/>
      <c r="O36" s="82"/>
    </row>
  </sheetData>
  <sheetProtection sheet="1" selectLockedCells="1"/>
  <mergeCells count="10">
    <mergeCell ref="B33:O33"/>
    <mergeCell ref="B36:O36"/>
    <mergeCell ref="G2:O2"/>
    <mergeCell ref="C12:D12"/>
    <mergeCell ref="B24:F24"/>
    <mergeCell ref="B30:O30"/>
    <mergeCell ref="B31:O31"/>
    <mergeCell ref="G5:I5"/>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67" orientation="portrait" r:id="rId3"/>
  <drawing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Data!$A$24:$A$25</xm:f>
          </x14:formula1>
          <xm:sqref>E14:E15</xm:sqref>
        </x14:dataValidation>
        <x14:dataValidation type="list" allowBlank="1" showInputMessage="1" showErrorMessage="1">
          <x14:formula1>
            <xm:f>Data!$F$59:$F$76</xm:f>
          </x14:formula1>
          <xm:sqref>O8</xm:sqref>
        </x14:dataValidation>
        <x14:dataValidation type="list" allowBlank="1" showInputMessage="1" showErrorMessage="1">
          <x14:formula1>
            <xm:f>Data!$B$49:$B$52</xm:f>
          </x14:formula1>
          <xm:sqref>G5</xm:sqref>
        </x14:dataValidation>
        <x14:dataValidation type="list" allowBlank="1" showInputMessage="1" showErrorMessage="1">
          <x14:formula1>
            <xm:f>Data!$F$59:$F$76</xm:f>
          </x14:formula1>
          <xm:sqref>I8</xm:sqref>
        </x14:dataValidation>
        <x14:dataValidation type="list" allowBlank="1" showInputMessage="1" showErrorMessage="1">
          <x14:formula1>
            <xm:f>Data!$F$59:$F$76</xm:f>
          </x14:formula1>
          <xm:sqref>K8</xm:sqref>
        </x14:dataValidation>
        <x14:dataValidation type="list" allowBlank="1" showInputMessage="1" showErrorMessage="1">
          <x14:formula1>
            <xm:f>Data!$F$59:$F$76</xm:f>
          </x14:formula1>
          <xm:sqref>M8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showRowColHeaders="0" showRuler="0" zoomScaleNormal="100" workbookViewId="0">
      <selection activeCell="G5" sqref="G5:I5"/>
    </sheetView>
  </sheetViews>
  <sheetFormatPr defaultRowHeight="15" x14ac:dyDescent="0.25"/>
  <cols>
    <col min="1" max="1" width="4.140625" customWidth="1"/>
    <col min="4" max="4" width="26.140625" customWidth="1"/>
    <col min="5" max="5" width="13.85546875" customWidth="1"/>
    <col min="6" max="6" width="4.28515625" customWidth="1"/>
    <col min="7" max="7" width="15" style="6" customWidth="1"/>
    <col min="8" max="8" width="2.85546875" customWidth="1"/>
    <col min="9" max="9" width="15" style="6" customWidth="1"/>
    <col min="10" max="10" width="2.85546875" customWidth="1"/>
    <col min="11" max="11" width="15" style="6" customWidth="1"/>
    <col min="12" max="12" width="2.85546875" style="6" customWidth="1"/>
    <col min="13" max="13" width="15" style="6" customWidth="1"/>
    <col min="14" max="14" width="2.85546875" style="6" customWidth="1"/>
    <col min="15" max="15" width="15" style="6" customWidth="1"/>
  </cols>
  <sheetData>
    <row r="1" spans="2:15" ht="17.25" customHeight="1" x14ac:dyDescent="0.25"/>
    <row r="2" spans="2:15" ht="47.25" customHeight="1" x14ac:dyDescent="0.35">
      <c r="G2" s="83" t="s">
        <v>68</v>
      </c>
      <c r="H2" s="83"/>
      <c r="I2" s="83"/>
      <c r="J2" s="83"/>
      <c r="K2" s="83"/>
      <c r="L2" s="83"/>
      <c r="M2" s="83"/>
      <c r="N2" s="83"/>
      <c r="O2" s="83"/>
    </row>
    <row r="3" spans="2:15" ht="8.25" customHeight="1" x14ac:dyDescent="0.25">
      <c r="B3" s="24"/>
      <c r="C3" s="24"/>
      <c r="D3" s="24"/>
      <c r="E3" s="24"/>
      <c r="F3" s="24"/>
      <c r="G3" s="25"/>
      <c r="H3" s="26"/>
      <c r="I3" s="26"/>
      <c r="J3" s="26"/>
      <c r="K3" s="26"/>
      <c r="L3" s="26"/>
      <c r="M3" s="26"/>
      <c r="N3" s="26"/>
      <c r="O3" s="26"/>
    </row>
    <row r="4" spans="2:15" ht="9.75" customHeight="1" x14ac:dyDescent="0.25"/>
    <row r="5" spans="2:15" ht="18" customHeight="1" x14ac:dyDescent="0.3">
      <c r="B5" s="8" t="s">
        <v>23</v>
      </c>
      <c r="D5" s="35"/>
      <c r="E5" s="35"/>
      <c r="F5" s="35"/>
      <c r="G5" s="93"/>
      <c r="H5" s="97"/>
      <c r="I5" s="94"/>
    </row>
    <row r="6" spans="2:15" ht="9.75" customHeight="1" x14ac:dyDescent="0.25"/>
    <row r="7" spans="2:15" ht="15" customHeight="1" thickBot="1" x14ac:dyDescent="0.3">
      <c r="I7" s="44" t="s">
        <v>137</v>
      </c>
      <c r="J7" s="47"/>
      <c r="K7" s="44" t="s">
        <v>138</v>
      </c>
      <c r="L7" s="48"/>
      <c r="M7" s="44" t="s">
        <v>139</v>
      </c>
      <c r="N7" s="48"/>
      <c r="O7" s="44" t="s">
        <v>140</v>
      </c>
    </row>
    <row r="8" spans="2:15" ht="18" customHeight="1" x14ac:dyDescent="0.3">
      <c r="C8" s="8" t="s">
        <v>72</v>
      </c>
      <c r="E8" s="35"/>
      <c r="F8" s="35"/>
      <c r="G8" s="35"/>
      <c r="H8" s="35"/>
      <c r="I8" s="49"/>
      <c r="K8" s="70"/>
      <c r="L8"/>
      <c r="M8" s="71"/>
      <c r="N8"/>
      <c r="O8" s="71"/>
    </row>
    <row r="9" spans="2:15" ht="18.75" customHeight="1" x14ac:dyDescent="0.25"/>
    <row r="10" spans="2:15" ht="15.75" thickBot="1" x14ac:dyDescent="0.3">
      <c r="B10" s="1" t="s">
        <v>7</v>
      </c>
      <c r="C10" s="2"/>
      <c r="D10" s="2"/>
      <c r="E10" s="2"/>
      <c r="F10" s="2"/>
      <c r="G10" s="5" t="s">
        <v>3</v>
      </c>
      <c r="H10" s="4"/>
      <c r="I10" s="5" t="s">
        <v>93</v>
      </c>
      <c r="J10" s="4"/>
      <c r="K10" s="5" t="s">
        <v>94</v>
      </c>
      <c r="L10" s="5"/>
      <c r="M10" s="5" t="s">
        <v>95</v>
      </c>
      <c r="N10" s="5"/>
      <c r="O10" s="5" t="s">
        <v>141</v>
      </c>
    </row>
    <row r="11" spans="2:15" ht="9" customHeight="1" x14ac:dyDescent="0.25"/>
    <row r="12" spans="2:15" ht="21.75" customHeight="1" x14ac:dyDescent="0.25">
      <c r="B12" s="14" t="s">
        <v>1</v>
      </c>
      <c r="C12" s="89"/>
      <c r="D12" s="89"/>
      <c r="E12" s="15"/>
      <c r="F12" s="15"/>
      <c r="G12" s="16">
        <f>I12+K12+M12+O12</f>
        <v>0</v>
      </c>
      <c r="H12" s="15"/>
      <c r="I12" s="16">
        <f>IF((OR(G5="2018 Fall Quarter", G5="2019 Spring Quarter")), (VLOOKUP(I8, Data!F55:H56, 2, FALSE)), IF((OR(G5="2019 Fall Quarter", G5="2020 Spring Quarter")), (VLOOKUP(I8, Data!F55:H56, 3, FALSE)), 0))</f>
        <v>0</v>
      </c>
      <c r="J12" s="15"/>
      <c r="K12" s="16">
        <f>IF((OR(G5="2018 Fall Quarter", G5="2019 Spring Quarter")), (VLOOKUP(K8, Data!F55:H56, 2, FALSE)), IF((OR(G5="2019 Fall Quarter", G5="2020 Spring Quarter")), (VLOOKUP(K8, Data!F55:H56, 3, FALSE)), 0))</f>
        <v>0</v>
      </c>
      <c r="L12" s="16"/>
      <c r="M12" s="16">
        <f>IF((OR(G5="2018 Fall Quarter", G5="2019 Spring Quarter")), (VLOOKUP(M8, Data!F55:H56, 2, FALSE)), IF((OR(G5="2019 Fall Quarter", G5="2020 Spring Quarter")), (VLOOKUP(M8, Data!F55:H56, 3, FALSE)), 0))</f>
        <v>0</v>
      </c>
      <c r="N12" s="16"/>
      <c r="O12" s="16">
        <f>IF((OR(G5="2018 Fall Quarter", G5="2019 Spring Quarter")), (VLOOKUP(O8, Data!F55:H56, 2, FALSE)), IF((OR(G5="2019 Fall Quarter", G5="2020 Spring Quarter")), (VLOOKUP(O8, Data!F55:H56, 3, FALSE)), 0))</f>
        <v>0</v>
      </c>
    </row>
    <row r="13" spans="2:15" ht="21.75" customHeight="1" x14ac:dyDescent="0.25">
      <c r="B13" s="50" t="s">
        <v>2</v>
      </c>
      <c r="C13" s="51"/>
      <c r="D13" s="51"/>
      <c r="E13" s="51"/>
      <c r="F13" s="51"/>
      <c r="G13" s="52">
        <f>I13+K13+M13+O13</f>
        <v>0</v>
      </c>
      <c r="H13" s="51"/>
      <c r="I13" s="52">
        <f>IF(I8="Yes", 40, 0)</f>
        <v>0</v>
      </c>
      <c r="J13" s="51"/>
      <c r="K13" s="52">
        <f>IF(K8="Yes", 40, 0)</f>
        <v>0</v>
      </c>
      <c r="L13" s="52"/>
      <c r="M13" s="52">
        <f>IF(M8="Yes", 40, 0)</f>
        <v>0</v>
      </c>
      <c r="N13" s="52"/>
      <c r="O13" s="52">
        <f>IF(O8="Yes", 40, 0)</f>
        <v>0</v>
      </c>
    </row>
    <row r="14" spans="2:15" ht="21.75" customHeight="1" x14ac:dyDescent="0.25">
      <c r="B14" s="102" t="s">
        <v>154</v>
      </c>
      <c r="C14" s="102"/>
      <c r="D14" s="103"/>
      <c r="E14" s="38"/>
      <c r="F14" s="36"/>
      <c r="G14" s="37">
        <f>I14+K14+M14+O14</f>
        <v>0</v>
      </c>
      <c r="H14" s="36"/>
      <c r="I14" s="37">
        <f>IF(AND(E14="Yes", I8="Yes"), (VLOOKUP(E14, Data!A24:C25, 2, FALSE)), 0)</f>
        <v>0</v>
      </c>
      <c r="J14" s="36"/>
      <c r="K14" s="37">
        <v>0</v>
      </c>
      <c r="L14" s="37"/>
      <c r="M14" s="37">
        <f>IF(AND(E14="Yes", M8="Yes"), (VLOOKUP(E14, Data!A24:C25, 2, FALSE)), 0)</f>
        <v>0</v>
      </c>
      <c r="N14" s="36"/>
      <c r="O14" s="53">
        <v>0</v>
      </c>
    </row>
    <row r="15" spans="2:15" s="32" customFormat="1" ht="21.75" customHeight="1" x14ac:dyDescent="0.25">
      <c r="B15" s="104" t="s">
        <v>153</v>
      </c>
      <c r="C15" s="104"/>
      <c r="D15" s="105"/>
      <c r="E15" s="101"/>
      <c r="F15" s="39"/>
      <c r="G15" s="40">
        <f>I15+K15+M15+O15</f>
        <v>0</v>
      </c>
      <c r="H15" s="39"/>
      <c r="I15" s="40">
        <f>IF(AND(E15="Yes", I8="Yes"), (VLOOKUP(E15, Data!A24:C25, 3, FALSE)), 0)</f>
        <v>0</v>
      </c>
      <c r="J15" s="39"/>
      <c r="K15" s="40">
        <f>IF(AND(E15="Yes", K8="Yes"), (VLOOKUP(E15, Data!A24:C25, 3, FALSE)), 0)</f>
        <v>0</v>
      </c>
      <c r="L15" s="40"/>
      <c r="M15" s="40">
        <f>IF(AND(E15="Yes", M8="Yes"), (VLOOKUP(E15, Data!A24:C25, 3, FALSE)), 0)</f>
        <v>0</v>
      </c>
      <c r="N15" s="39"/>
      <c r="O15" s="54">
        <f>IF(AND(E15="Yes", O8="Yes"), (VLOOKUP(E15, Data!A24:C25, 3, FALSE)), 0)</f>
        <v>0</v>
      </c>
    </row>
    <row r="16" spans="2:15" ht="21.75" customHeight="1" x14ac:dyDescent="0.25">
      <c r="C16" s="12" t="s">
        <v>6</v>
      </c>
      <c r="G16" s="13">
        <f>SUM(G12:G15)</f>
        <v>0</v>
      </c>
      <c r="I16" s="13">
        <f>SUM(I12:I15)</f>
        <v>0</v>
      </c>
      <c r="K16" s="13">
        <f>SUM(K12:K15)</f>
        <v>0</v>
      </c>
      <c r="L16" s="13"/>
      <c r="M16" s="13">
        <f>SUM(M12:M15)</f>
        <v>0</v>
      </c>
      <c r="N16" s="13"/>
      <c r="O16" s="13">
        <f>SUM(O12:O15)</f>
        <v>0</v>
      </c>
    </row>
    <row r="17" spans="2:15" ht="24" customHeight="1" x14ac:dyDescent="0.25"/>
    <row r="18" spans="2:15" ht="15.75" thickBot="1" x14ac:dyDescent="0.3">
      <c r="B18" s="1" t="s">
        <v>11</v>
      </c>
      <c r="C18" s="2"/>
      <c r="D18" s="2"/>
      <c r="E18" s="2"/>
      <c r="F18" s="2"/>
      <c r="G18" s="5" t="s">
        <v>3</v>
      </c>
      <c r="H18" s="4"/>
      <c r="I18" s="5" t="s">
        <v>93</v>
      </c>
      <c r="J18" s="4"/>
      <c r="K18" s="5" t="s">
        <v>94</v>
      </c>
      <c r="L18" s="5"/>
      <c r="M18" s="5" t="s">
        <v>95</v>
      </c>
      <c r="N18" s="5"/>
      <c r="O18" s="5" t="s">
        <v>141</v>
      </c>
    </row>
    <row r="19" spans="2:15" ht="21.75" customHeight="1" x14ac:dyDescent="0.25">
      <c r="B19" t="s">
        <v>16</v>
      </c>
      <c r="G19" s="20"/>
      <c r="I19" s="6">
        <f>IF((AND(I8="Yes",K8="Yes",M8="Yes",O8="Yes")),(G19/4), IF((AND(I8="Yes",K8="Yes",M8="Yes",O8="No")),(G19/3), IF((AND(I8="Yes",K8="Yes",M8="No",O8="No")),(G19/2), IF((AND(I8="Yes",K8="No",M8="No",O8="No")),(G19/1), 0))))</f>
        <v>0</v>
      </c>
      <c r="K19" s="6">
        <f>IF((AND(I8="Yes",K8="Yes",M8="Yes",O8="Yes")),(G19/4), IF((AND(I8="Yes",K8="Yes",M8="Yes",O8="No")),(G19/3), IF((AND(I8="No",K8="Yes",M8="Yes",O8="Yes")),(G19/3), IF((AND(I8="Yes",K8="Yes",M8="No",O8="No")),(G19/2), 0))))</f>
        <v>0</v>
      </c>
      <c r="M19" s="6">
        <f>IF((AND(I8="Yes",K8="Yes",M8="Yes",O8="Yes")),(G19/4), IF((AND(I8="Yes",K8="Yes",M8="Yes",O8="No")),(G19/3), IF((AND(I8="No",K8="Yes",M8="Yes",O8="Yes")),(G19/3), IF((AND(I8="No",K8="No",M8="Yes",O8="Yes")),(G19/2), 0))))</f>
        <v>0</v>
      </c>
      <c r="O19" s="6">
        <f>IF((AND(I8="Yes",K8="Yes",M8="Yes",O8="Yes")),(G19/4), IF((AND(I8="No",K8="Yes",M8="Yes",O8="Yes")),(G19/3), IF((AND(I8="No",K8="No",M8="Yes",O8="Yes")),(G19/2),  IF((AND(I8="No",K8="No",M8="No",O8="Yes")),(G19), 0))))</f>
        <v>0</v>
      </c>
    </row>
    <row r="20" spans="2:15" ht="21.75" customHeight="1" x14ac:dyDescent="0.25">
      <c r="B20" s="15" t="s">
        <v>8</v>
      </c>
      <c r="C20" s="15"/>
      <c r="D20" s="15"/>
      <c r="E20" s="15"/>
      <c r="F20" s="15"/>
      <c r="G20" s="21"/>
      <c r="H20" s="15"/>
      <c r="I20" s="16">
        <f>IF((AND(I8="Yes",K8="Yes",M8="Yes",O8="Yes")),(G20/4), IF((AND(I8="Yes",K8="Yes",M8="Yes",O8="No")),(G20/3), IF((AND(I8="Yes",K8="Yes",M8="No",O8="No")),(G20/2), IF((AND(I8="Yes",K8="No",M8="No",O8="No")),(G20/1), 0))))</f>
        <v>0</v>
      </c>
      <c r="J20" s="15"/>
      <c r="K20" s="16">
        <f>IF((AND(I8="Yes",K8="Yes",M8="Yes",O8="Yes")),(G20/4), IF((AND(I8="Yes",K8="Yes",M8="Yes",O8="No")),(G20/3), IF((AND(I8="No",K8="Yes",M8="Yes",O8="Yes")),(G20/3), IF((AND(I8="Yes",K8="Yes",M8="No",O8="No")),(G20/2), 0))))</f>
        <v>0</v>
      </c>
      <c r="L20" s="16"/>
      <c r="M20" s="16">
        <f>IF((AND(I8="Yes",K8="Yes",M8="Yes",O8="Yes")),(G20/4), IF((AND(I8="Yes",K8="Yes",M8="Yes",O8="No")),(G20/3), IF((AND(I8="No",K8="Yes",M8="Yes",O8="Yes")),(G20/3), IF((AND(I8="No",K8="No",M8="Yes",O8="Yes")),(G20/2), 0))))</f>
        <v>0</v>
      </c>
      <c r="N20" s="16"/>
      <c r="O20" s="16">
        <f>IF((AND(I8="Yes",K8="Yes",M8="Yes",O8="Yes")),(G20/4), IF((AND(I8="No",K8="Yes",M8="Yes",O8="Yes")),(G20/3), IF((AND(I8="No",K8="No",M8="Yes",O8="Yes")),(G20/2),  IF((AND(I8="No",K8="No",M8="No",O8="Yes")),(G20), 0))))</f>
        <v>0</v>
      </c>
    </row>
    <row r="21" spans="2:15" ht="21.75" customHeight="1" x14ac:dyDescent="0.25">
      <c r="B21" t="s">
        <v>21</v>
      </c>
      <c r="E21" s="22"/>
      <c r="G21" s="6">
        <f>E21-(E21*0.01062)</f>
        <v>0</v>
      </c>
      <c r="I21" s="6">
        <f>IF((AND(I8="Yes",K8="Yes",M8="Yes",O8="Yes")),(G21/4), IF((AND(I8="Yes",K8="Yes",M8="Yes",O8="No")),(G21/3), IF((AND(I8="Yes",K8="Yes",M8="No",O8="No")),(G21/2), IF((AND(I8="Yes",K8="No",M8="No",O8="No")),(G21/1), 0))))</f>
        <v>0</v>
      </c>
      <c r="K21" s="6">
        <f>IF((AND(I8="Yes",K8="Yes",M8="Yes",O8="Yes")),(G21/4), IF((AND(I8="Yes",K8="Yes",M8="Yes",O8="No")),(G21/3), IF((AND(I8="No",K8="Yes",M8="Yes",O8="Yes")),(G21/3), IF((AND(I8="Yes",K8="Yes",M8="No",O8="No")),(G21/2), 0))))</f>
        <v>0</v>
      </c>
      <c r="M21" s="6">
        <f>IF((AND(I8="Yes",K8="Yes",M8="Yes",O8="Yes")),(G21/4), IF((AND(I8="Yes",K8="Yes",M8="Yes",O8="No")),(G21/3), IF((AND(I8="No",K8="Yes",M8="Yes",O8="Yes")),(G21/3), IF((AND(I8="No",K8="No",M8="Yes",O8="Yes")),(G21/2), 0))))</f>
        <v>0</v>
      </c>
      <c r="O21" s="6">
        <f>IF((AND(I8="Yes",K8="Yes",M8="Yes",O8="Yes")),(G21/4), IF((AND(I8="No",K8="Yes",M8="Yes",O8="Yes")),(G21/3), IF((AND(I8="No",K8="No",M8="Yes",O8="Yes")),(G21/2),  IF((AND(I8="No",K8="No",M8="No",O8="Yes")),(G21), 0))))</f>
        <v>0</v>
      </c>
    </row>
    <row r="22" spans="2:15" ht="21.75" customHeight="1" x14ac:dyDescent="0.25">
      <c r="B22" s="15" t="s">
        <v>22</v>
      </c>
      <c r="C22" s="15"/>
      <c r="D22" s="15"/>
      <c r="E22" s="22"/>
      <c r="F22" s="15"/>
      <c r="G22" s="16">
        <f>E22-(E22*0.04248)</f>
        <v>0</v>
      </c>
      <c r="H22" s="15"/>
      <c r="I22" s="16">
        <f>IF((AND(I8="Yes",K8="Yes",M8="Yes",O8="Yes")),(G22/4), IF((AND(I8="Yes",K8="Yes",M8="Yes",O8="No")),(G22/3), IF((AND(I8="Yes",K8="Yes",M8="No",O8="No")),(G22/2), IF((AND(I8="Yes",K8="No",M8="No",O8="No")),(G22/1), 0))))</f>
        <v>0</v>
      </c>
      <c r="J22" s="15"/>
      <c r="K22" s="16">
        <f>IF((AND(I8="Yes",K8="Yes",M8="Yes",O8="Yes")),(G22/4), IF((AND(I8="Yes",K8="Yes",M8="Yes",O8="No")),(G22/3), IF((AND(I8="No",K8="Yes",M8="Yes",O8="Yes")),(G22/3), IF((AND(I8="Yes",K8="Yes",M8="No",O8="No")),(G22/2), 0))))</f>
        <v>0</v>
      </c>
      <c r="L22" s="16"/>
      <c r="M22" s="16">
        <f>IF((AND(I8="Yes",K8="Yes",M8="Yes",O8="Yes")),(G22/4), IF((AND(I8="Yes",K8="Yes",M8="Yes",O8="No")),(G22/3), IF((AND(I8="No",K8="Yes",M8="Yes",O8="Yes")),(G22/3), IF((AND(I8="No",K8="No",M8="Yes",O8="Yes")),(G22/2), 0))))</f>
        <v>0</v>
      </c>
      <c r="N22" s="16"/>
      <c r="O22" s="16">
        <f>IF((AND(I8="Yes",K8="Yes",M8="Yes",O8="Yes")),(G22/4), IF((AND(I8="No",K8="Yes",M8="Yes",O8="Yes")),(G22/3), IF((AND(I8="No",K8="No",M8="Yes",O8="Yes")),(G22/2),  IF((AND(I8="No",K8="No",M8="No",O8="Yes")),(G22), 0))))</f>
        <v>0</v>
      </c>
    </row>
    <row r="23" spans="2:15" ht="21.75" customHeight="1" x14ac:dyDescent="0.25">
      <c r="B23" t="s">
        <v>9</v>
      </c>
      <c r="G23" s="21"/>
      <c r="I23" s="6">
        <f>IF((AND(I8="Yes",K8="Yes",M8="Yes",O8="Yes")),(G23/4), IF((AND(I8="Yes",K8="Yes",M8="Yes",O8="No")),(G23/3), IF((AND(I8="Yes",K8="Yes",M8="No",O8="No")),(G23/2), IF((AND(I8="Yes",K8="No",M8="No",O8="No")),(G23/1), 0))))</f>
        <v>0</v>
      </c>
      <c r="K23" s="6">
        <f>IF((AND(I8="Yes",K8="Yes",M8="Yes",O8="Yes")),(G23/4), IF((AND(I8="Yes",K8="Yes",M8="Yes",O8="No")),(G23/3), IF((AND(I8="No",K8="Yes",M8="Yes",O8="Yes")),(G23/3), IF((AND(I8="Yes",K8="Yes",M8="No",O8="No")),(G23/2), 0))))</f>
        <v>0</v>
      </c>
      <c r="M23" s="6">
        <f>IF((AND(I8="Yes",K8="Yes",M8="Yes",O8="Yes")),(G23/4), IF((AND(I8="Yes",K8="Yes",M8="Yes",O8="No")),(G23/3), IF((AND(I8="No",K8="Yes",M8="Yes",O8="Yes")),(G23/3), IF((AND(I8="No",K8="No",M8="Yes",O8="Yes")),(G23/2), 0))))</f>
        <v>0</v>
      </c>
      <c r="O23" s="6">
        <f>IF((AND(I8="Yes",K8="Yes",M8="Yes",O8="Yes")),(G23/4), IF((AND(I8="No",K8="Yes",M8="Yes",O8="Yes")),(G23/3), IF((AND(I8="No",K8="No",M8="Yes",O8="Yes")),(G23/2),  IF((AND(I8="No",K8="No",M8="No",O8="Yes")),(G23), 0))))</f>
        <v>0</v>
      </c>
    </row>
    <row r="24" spans="2:15" ht="21.75" customHeight="1" x14ac:dyDescent="0.25">
      <c r="B24" s="92" t="s">
        <v>44</v>
      </c>
      <c r="C24" s="92"/>
      <c r="D24" s="92"/>
      <c r="E24" s="92"/>
      <c r="F24" s="92"/>
      <c r="G24" s="34">
        <f>I24+K24+M24+O24</f>
        <v>0</v>
      </c>
      <c r="H24" s="33"/>
      <c r="I24" s="23"/>
      <c r="J24" s="33"/>
      <c r="K24" s="23"/>
      <c r="L24" s="41"/>
      <c r="M24" s="23"/>
      <c r="N24" s="41"/>
      <c r="O24" s="23"/>
    </row>
    <row r="25" spans="2:15" ht="21.75" customHeight="1" x14ac:dyDescent="0.25">
      <c r="C25" s="12" t="s">
        <v>10</v>
      </c>
      <c r="G25" s="6">
        <f>SUM(G19:G24)</f>
        <v>0</v>
      </c>
      <c r="I25" s="6">
        <f>SUM(I19:I24)</f>
        <v>0</v>
      </c>
      <c r="K25" s="6">
        <f>SUM(K19:K24)</f>
        <v>0</v>
      </c>
      <c r="M25" s="6">
        <f>SUM(M19:M24)</f>
        <v>0</v>
      </c>
      <c r="O25" s="6">
        <f>SUM(O19:O24)</f>
        <v>0</v>
      </c>
    </row>
    <row r="26" spans="2:15" ht="15.75" thickBot="1" x14ac:dyDescent="0.3"/>
    <row r="27" spans="2:15" ht="21.75" customHeight="1" thickTop="1" thickBot="1" x14ac:dyDescent="0.35">
      <c r="B27" s="19" t="s">
        <v>12</v>
      </c>
      <c r="C27" s="18"/>
      <c r="D27" s="18"/>
      <c r="E27" s="18"/>
      <c r="F27" s="18"/>
      <c r="G27" s="30">
        <f>G16-G25</f>
        <v>0</v>
      </c>
      <c r="H27" s="31"/>
      <c r="I27" s="30">
        <f>I16-I25</f>
        <v>0</v>
      </c>
      <c r="J27" s="31"/>
      <c r="K27" s="30">
        <f>K16-K25</f>
        <v>0</v>
      </c>
      <c r="L27" s="30"/>
      <c r="M27" s="30">
        <f>M16-M25</f>
        <v>0</v>
      </c>
      <c r="N27" s="30"/>
      <c r="O27" s="30">
        <f>O16-O25</f>
        <v>0</v>
      </c>
    </row>
    <row r="28" spans="2:15" ht="15.75" thickTop="1" x14ac:dyDescent="0.25"/>
    <row r="29" spans="2:15" x14ac:dyDescent="0.25">
      <c r="B29" s="12" t="s">
        <v>13</v>
      </c>
    </row>
    <row r="30" spans="2:15" ht="36.75" customHeight="1" x14ac:dyDescent="0.25">
      <c r="B30" s="96" t="s">
        <v>76</v>
      </c>
      <c r="C30" s="90"/>
      <c r="D30" s="90"/>
      <c r="E30" s="90"/>
      <c r="F30" s="90"/>
      <c r="G30" s="90"/>
      <c r="H30" s="90"/>
      <c r="I30" s="90"/>
      <c r="J30" s="90"/>
      <c r="K30" s="90"/>
      <c r="L30" s="90"/>
      <c r="M30" s="90"/>
      <c r="N30" s="90"/>
      <c r="O30" s="90"/>
    </row>
    <row r="31" spans="2:15" ht="21.75" customHeight="1" x14ac:dyDescent="0.25">
      <c r="B31" s="91" t="s">
        <v>20</v>
      </c>
      <c r="C31" s="91"/>
      <c r="D31" s="91"/>
      <c r="E31" s="91"/>
      <c r="F31" s="91"/>
      <c r="G31" s="91"/>
      <c r="H31" s="91"/>
      <c r="I31" s="91"/>
      <c r="J31" s="91"/>
      <c r="K31" s="91"/>
      <c r="L31" s="91"/>
      <c r="M31" s="91"/>
      <c r="N31" s="91"/>
      <c r="O31" s="91"/>
    </row>
    <row r="32" spans="2:15" ht="21.75" customHeight="1" x14ac:dyDescent="0.25">
      <c r="B32" t="s">
        <v>25</v>
      </c>
    </row>
    <row r="33" spans="2:15" ht="51" customHeight="1" x14ac:dyDescent="0.25">
      <c r="B33" s="90" t="s">
        <v>26</v>
      </c>
      <c r="C33" s="90"/>
      <c r="D33" s="90"/>
      <c r="E33" s="90"/>
      <c r="F33" s="90"/>
      <c r="G33" s="90"/>
      <c r="H33" s="90"/>
      <c r="I33" s="90"/>
      <c r="J33" s="90"/>
      <c r="K33" s="90"/>
      <c r="L33" s="90"/>
      <c r="M33" s="90"/>
      <c r="N33" s="90"/>
      <c r="O33" s="90"/>
    </row>
    <row r="34" spans="2:15" ht="21.75" customHeight="1" x14ac:dyDescent="0.25"/>
    <row r="36" spans="2:15" x14ac:dyDescent="0.25">
      <c r="B36" s="82" t="s">
        <v>14</v>
      </c>
      <c r="C36" s="82"/>
      <c r="D36" s="82"/>
      <c r="E36" s="82"/>
      <c r="F36" s="82"/>
      <c r="G36" s="82"/>
      <c r="H36" s="82"/>
      <c r="I36" s="82"/>
      <c r="J36" s="82"/>
      <c r="K36" s="82"/>
      <c r="L36" s="82"/>
      <c r="M36" s="82"/>
      <c r="N36" s="82"/>
      <c r="O36" s="82"/>
    </row>
  </sheetData>
  <sheetProtection sheet="1" selectLockedCells="1"/>
  <mergeCells count="10">
    <mergeCell ref="G2:O2"/>
    <mergeCell ref="G5:I5"/>
    <mergeCell ref="B31:O31"/>
    <mergeCell ref="B33:O33"/>
    <mergeCell ref="B36:O36"/>
    <mergeCell ref="C12:D12"/>
    <mergeCell ref="B24:F24"/>
    <mergeCell ref="B30:O30"/>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72" orientation="portrait" r:id="rId3"/>
  <drawing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Data!$B$49:$B$52</xm:f>
          </x14:formula1>
          <xm:sqref>G5</xm:sqref>
        </x14:dataValidation>
        <x14:dataValidation type="list" allowBlank="1" showInputMessage="1" showErrorMessage="1">
          <x14:formula1>
            <xm:f>Data!$F$55:$F$56</xm:f>
          </x14:formula1>
          <xm:sqref>I8</xm:sqref>
        </x14:dataValidation>
        <x14:dataValidation type="list" allowBlank="1" showInputMessage="1" showErrorMessage="1">
          <x14:formula1>
            <xm:f>Data!$A$24:$A$25</xm:f>
          </x14:formula1>
          <xm:sqref>E14:E15</xm:sqref>
        </x14:dataValidation>
        <x14:dataValidation type="list" allowBlank="1" showInputMessage="1" showErrorMessage="1">
          <x14:formula1>
            <xm:f>Data!$F$55:$F$56</xm:f>
          </x14:formula1>
          <xm:sqref>K8</xm:sqref>
        </x14:dataValidation>
        <x14:dataValidation type="list" allowBlank="1" showInputMessage="1" showErrorMessage="1">
          <x14:formula1>
            <xm:f>Data!$F$55:$F$56</xm:f>
          </x14:formula1>
          <xm:sqref>M8</xm:sqref>
        </x14:dataValidation>
        <x14:dataValidation type="list" allowBlank="1" showInputMessage="1" showErrorMessage="1">
          <x14:formula1>
            <xm:f>Data!$F$55:$F$56</xm:f>
          </x14:formula1>
          <xm:sqref>O8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4"/>
  <sheetViews>
    <sheetView showGridLines="0" showRowColHeaders="0" showRuler="0" zoomScaleNormal="100" workbookViewId="0">
      <selection activeCell="G5" sqref="G5:I5"/>
    </sheetView>
  </sheetViews>
  <sheetFormatPr defaultRowHeight="15" x14ac:dyDescent="0.25"/>
  <cols>
    <col min="1" max="1" width="4.140625" customWidth="1"/>
    <col min="4" max="4" width="14" customWidth="1"/>
    <col min="5" max="5" width="13.85546875" customWidth="1"/>
    <col min="6" max="6" width="4.28515625" customWidth="1"/>
    <col min="7" max="7" width="15" style="6" customWidth="1"/>
    <col min="8" max="8" width="2.85546875" customWidth="1"/>
    <col min="9" max="9" width="15" style="6" customWidth="1"/>
    <col min="10" max="10" width="2.85546875" customWidth="1"/>
    <col min="11" max="11" width="15" style="6" customWidth="1"/>
    <col min="12" max="12" width="2.85546875" style="6" customWidth="1"/>
    <col min="13" max="13" width="15" style="6" customWidth="1"/>
    <col min="14" max="14" width="2.85546875" style="6" customWidth="1"/>
    <col min="15" max="15" width="15" style="6" customWidth="1"/>
  </cols>
  <sheetData>
    <row r="1" spans="2:15" ht="17.25" customHeight="1" x14ac:dyDescent="0.25"/>
    <row r="2" spans="2:15" ht="47.25" customHeight="1" x14ac:dyDescent="0.35">
      <c r="G2" s="83" t="s">
        <v>77</v>
      </c>
      <c r="H2" s="83"/>
      <c r="I2" s="83"/>
      <c r="J2" s="83"/>
      <c r="K2" s="83"/>
      <c r="L2" s="83"/>
      <c r="M2" s="83"/>
      <c r="N2" s="83"/>
      <c r="O2" s="83"/>
    </row>
    <row r="3" spans="2:15" ht="8.25" customHeight="1" x14ac:dyDescent="0.25">
      <c r="B3" s="24"/>
      <c r="C3" s="24"/>
      <c r="D3" s="24"/>
      <c r="E3" s="24"/>
      <c r="F3" s="24"/>
      <c r="G3" s="25"/>
      <c r="H3" s="26"/>
      <c r="I3" s="26"/>
      <c r="J3" s="26"/>
      <c r="K3" s="26"/>
      <c r="L3" s="26"/>
      <c r="M3" s="26"/>
      <c r="N3" s="26"/>
      <c r="O3" s="26"/>
    </row>
    <row r="4" spans="2:15" ht="9.75" customHeight="1" x14ac:dyDescent="0.25"/>
    <row r="5" spans="2:15" ht="18" customHeight="1" x14ac:dyDescent="0.3">
      <c r="B5" s="8" t="s">
        <v>23</v>
      </c>
      <c r="D5" s="35"/>
      <c r="E5" s="35"/>
      <c r="F5" s="35"/>
      <c r="G5" s="93"/>
      <c r="H5" s="97"/>
      <c r="I5" s="94"/>
    </row>
    <row r="6" spans="2:15" ht="9.75" customHeight="1" x14ac:dyDescent="0.25"/>
    <row r="7" spans="2:15" ht="15" customHeight="1" thickBot="1" x14ac:dyDescent="0.3">
      <c r="I7" s="44" t="s">
        <v>137</v>
      </c>
      <c r="J7" s="47"/>
      <c r="K7" s="44" t="s">
        <v>138</v>
      </c>
      <c r="L7" s="48"/>
      <c r="M7" s="44" t="s">
        <v>139</v>
      </c>
      <c r="N7" s="48"/>
      <c r="O7" s="44" t="s">
        <v>140</v>
      </c>
    </row>
    <row r="8" spans="2:15" ht="18" customHeight="1" x14ac:dyDescent="0.3">
      <c r="C8" s="8" t="s">
        <v>73</v>
      </c>
      <c r="E8" s="35"/>
      <c r="F8" s="35"/>
      <c r="G8" s="35"/>
      <c r="H8" s="35"/>
      <c r="I8" s="49"/>
      <c r="K8" s="70"/>
      <c r="L8"/>
      <c r="M8" s="71"/>
      <c r="N8"/>
      <c r="O8" s="71"/>
    </row>
    <row r="9" spans="2:15" ht="18.75" customHeight="1" x14ac:dyDescent="0.25"/>
    <row r="10" spans="2:15" ht="15.75" thickBot="1" x14ac:dyDescent="0.3">
      <c r="B10" s="1" t="s">
        <v>7</v>
      </c>
      <c r="C10" s="2"/>
      <c r="D10" s="2"/>
      <c r="E10" s="2"/>
      <c r="F10" s="2"/>
      <c r="G10" s="5" t="s">
        <v>3</v>
      </c>
      <c r="H10" s="4"/>
      <c r="I10" s="5" t="s">
        <v>93</v>
      </c>
      <c r="J10" s="4"/>
      <c r="K10" s="5" t="s">
        <v>94</v>
      </c>
      <c r="L10" s="5"/>
      <c r="M10" s="5" t="s">
        <v>95</v>
      </c>
      <c r="N10" s="5"/>
      <c r="O10" s="5" t="s">
        <v>141</v>
      </c>
    </row>
    <row r="11" spans="2:15" ht="9" customHeight="1" x14ac:dyDescent="0.25"/>
    <row r="12" spans="2:15" ht="21.75" customHeight="1" x14ac:dyDescent="0.25">
      <c r="B12" s="14" t="s">
        <v>1</v>
      </c>
      <c r="C12" s="89"/>
      <c r="D12" s="89"/>
      <c r="E12" s="15"/>
      <c r="F12" s="15"/>
      <c r="G12" s="16">
        <f>I12+K12+M12+O12</f>
        <v>0</v>
      </c>
      <c r="H12" s="15"/>
      <c r="I12" s="16">
        <f>IF((OR(G5="2018 Fall Quarter", G5="2019 Winter Quarter", G5="2019 Spring Quarter", G5="2019 Summer Quarter")), (VLOOKUP(I8, Data!F59:H76, 2, FALSE)), IF((OR(G5="2019 Fall Quarter", G5="2020 Winter Quarter", G5="2020 Spring Quarter", G5="2020 Summer Quarter")), (VLOOKUP(I8, Data!F59:H76, 3, FALSE)), 0))</f>
        <v>0</v>
      </c>
      <c r="J12" s="15"/>
      <c r="K12" s="16">
        <f>IF((OR(G5="2018 Fall Quarter", G5="2019 Winter Quarter", G5="2019 Spring Quarter", G5="2019 Summer Quarter")), (VLOOKUP(K8, Data!F59:H76, 2, FALSE)), IF((OR(G5="2019 Fall Quarter", G5="2020 Winter Quarter", G5="2020 Spring Quarter", G5="2020 Summer Quarter")), (VLOOKUP(K8, Data!F59:H76, 3, FALSE)), 0))</f>
        <v>0</v>
      </c>
      <c r="L12" s="16"/>
      <c r="M12" s="16">
        <f>IF((OR(G5="2018 Fall Quarter", G5="2019 Winter Quarter", G5="2019 Spring Quarter", G5="2019 Summer Quarter")), (VLOOKUP(M8, Data!F59:H76, 2, FALSE)), IF((OR(G5="2019 Fall Quarter", G5="2020 Winter Quarter", G5="2020 Spring Quarter", G5="2020 Summer Quarter")), (VLOOKUP(M8, Data!F59:H76, 3, FALSE)), 0))</f>
        <v>0</v>
      </c>
      <c r="N12" s="16"/>
      <c r="O12" s="16">
        <f>IF((OR(G5="2018 Fall Quarter", G5="2019 Winter Quarter", G5="2019 Spring Quarter", G5="2019 Summer Quarter")), (VLOOKUP(O8, Data!F59:H76, 2, FALSE)), IF((OR(G5="2019 Fall Quarter", G5="2020 Winter Quarter", G5="2020 Spring Quarter", G5="2020 Summer Quarter")), (VLOOKUP(O8, Data!F59:H76, 3, FALSE)), 0))</f>
        <v>0</v>
      </c>
    </row>
    <row r="13" spans="2:15" ht="21.75" customHeight="1" x14ac:dyDescent="0.25">
      <c r="B13" s="50" t="s">
        <v>2</v>
      </c>
      <c r="C13" s="51"/>
      <c r="D13" s="51"/>
      <c r="E13" s="51"/>
      <c r="F13" s="51"/>
      <c r="G13" s="52" t="e">
        <f>I13+K13+M13+O13</f>
        <v>#N/A</v>
      </c>
      <c r="H13" s="51"/>
      <c r="I13" s="52" t="e">
        <f>VLOOKUP(I8,Data!F59:I76,4,FALSE)</f>
        <v>#N/A</v>
      </c>
      <c r="J13" s="51"/>
      <c r="K13" s="52" t="e">
        <f>VLOOKUP(K8,Data!F59:I76,4,FALSE)</f>
        <v>#N/A</v>
      </c>
      <c r="L13" s="52"/>
      <c r="M13" s="52" t="e">
        <f>VLOOKUP(M8,Data!F59:I76,4,FALSE)</f>
        <v>#N/A</v>
      </c>
      <c r="N13" s="52"/>
      <c r="O13" s="52" t="e">
        <f>VLOOKUP(O8,Data!F59:I76,4,FALSE)</f>
        <v>#N/A</v>
      </c>
    </row>
    <row r="14" spans="2:15" ht="21.75" customHeight="1" x14ac:dyDescent="0.25">
      <c r="B14" s="24"/>
      <c r="C14" s="59" t="s">
        <v>6</v>
      </c>
      <c r="D14" s="24"/>
      <c r="E14" s="24"/>
      <c r="F14" s="24"/>
      <c r="G14" s="60" t="e">
        <f>SUM(G12:G13)</f>
        <v>#N/A</v>
      </c>
      <c r="H14" s="24"/>
      <c r="I14" s="60" t="e">
        <f>SUM(I12:I13)</f>
        <v>#N/A</v>
      </c>
      <c r="J14" s="24"/>
      <c r="K14" s="60" t="e">
        <f>SUM(K12:K13)</f>
        <v>#N/A</v>
      </c>
      <c r="L14" s="60"/>
      <c r="M14" s="60" t="e">
        <f>SUM(M12:M13)</f>
        <v>#N/A</v>
      </c>
      <c r="N14" s="60"/>
      <c r="O14" s="60" t="e">
        <f>SUM(O12:O13)</f>
        <v>#N/A</v>
      </c>
    </row>
    <row r="15" spans="2:15" ht="24" customHeight="1" x14ac:dyDescent="0.25"/>
    <row r="16" spans="2:15" ht="15.75" thickBot="1" x14ac:dyDescent="0.3">
      <c r="B16" s="1" t="s">
        <v>11</v>
      </c>
      <c r="C16" s="2"/>
      <c r="D16" s="2"/>
      <c r="E16" s="2"/>
      <c r="F16" s="2"/>
      <c r="G16" s="5" t="s">
        <v>3</v>
      </c>
      <c r="H16" s="4"/>
      <c r="I16" s="5" t="s">
        <v>93</v>
      </c>
      <c r="J16" s="4"/>
      <c r="K16" s="5" t="s">
        <v>94</v>
      </c>
      <c r="L16" s="5"/>
      <c r="M16" s="5" t="s">
        <v>95</v>
      </c>
      <c r="N16" s="5"/>
      <c r="O16" s="5" t="s">
        <v>141</v>
      </c>
    </row>
    <row r="17" spans="2:15" ht="21.75" customHeight="1" x14ac:dyDescent="0.25">
      <c r="B17" t="s">
        <v>16</v>
      </c>
      <c r="G17" s="20"/>
      <c r="I17" s="6">
        <f>IF((AND(I8&lt;&gt;"not enrolled",K8&lt;&gt;"not enrolled",M8&lt;&gt;"not enrolled",O8&lt;&gt;"not enrolled")),(G17/4), IF((AND(I8&lt;&gt;"not enrolled",K8&lt;&gt;"not enrolled",M8&lt;&gt;"not enrolled",O8="not enrolled")),(G17/3), IF((AND(I8&lt;&gt;"not enrolled",K8&lt;&gt;"not enrolled",M8="not enrolled",O8="not enrolled")),(G17/2), IF((AND(I8&lt;&gt;"not enrolled",K8="not enrolled",M8="not enrolled",O8="not enrolled")),(G17/1), 0))))</f>
        <v>0</v>
      </c>
      <c r="K17" s="6">
        <f>IF((AND(I8&lt;&gt;"not enrolled",K8&lt;&gt;"not enrolled",M8&lt;&gt;"not enrolled",O8&lt;&gt;"not enrolled")),(G17/4), IF((AND(I8&lt;&gt;"not enrolled",K8&lt;&gt;"not enrolled",M8&lt;&gt;"not enrolled",O8="not enrolled")),(G17/3), IF((AND(I8="not enrolled",K8&lt;&gt;"not enrolled",M8&lt;&gt;"not enrolled",O8&lt;&gt;"not enrolled")),(G17/3), IF((AND(I8&lt;&gt;"not enrolled",K8&lt;&gt;"not enrolled",M8="not enrolled",O8="not enrolled")),(G17/2), 0))))</f>
        <v>0</v>
      </c>
      <c r="M17" s="6">
        <f>IF((AND(I8&lt;&gt;"not enrolled",K8&lt;&gt;"not enrolled",M8&lt;&gt;"not enrolled",O8&lt;&gt;"not enrolled")),(G17/4), IF((AND(I8&lt;&gt;"not enrolled",K8&lt;&gt;"not enrolled",M8&lt;&gt;"not enrolled",O8="not enrolled")),(G17/3), IF((AND(I8="not enrolled",K8&lt;&gt;"not enrolled",M8&lt;&gt;"not enrolled",O8&lt;&gt;"not enrolled")),(G17/3), IF((AND(I8="not enrolled",K8="not enrolled",M8&lt;&gt;"not enrolled",O8&lt;&gt;"not enrolled")),(G17/2), 0))))</f>
        <v>0</v>
      </c>
      <c r="O17" s="6">
        <f>IF((AND(I8&lt;&gt;"not enrolled",K8&lt;&gt;"not enrolled",M8&lt;&gt;"not enrolled",O8&lt;&gt;"not enrolled")),(G17/4), IF((AND(I8="not enrolled",K8&lt;&gt;"not enrolled",M8&lt;&gt;"not enrolled",O8&lt;&gt;"not enrolled")),(G17/3), IF((AND(I8="not enrolled",K8="not enrolled",M8&lt;&gt;"not enrolled",O8&lt;&gt;"not enrolled")),(G17/2),  IF((AND(I8="not enrolled",K8="not enrolled",M8="not enrolled",O8&lt;&gt;"not enrolled")),(G17), 0))))</f>
        <v>0</v>
      </c>
    </row>
    <row r="18" spans="2:15" ht="21.75" customHeight="1" x14ac:dyDescent="0.25">
      <c r="B18" s="15" t="s">
        <v>8</v>
      </c>
      <c r="C18" s="15"/>
      <c r="D18" s="15"/>
      <c r="E18" s="15"/>
      <c r="F18" s="15"/>
      <c r="G18" s="21"/>
      <c r="H18" s="15"/>
      <c r="I18" s="16">
        <f>IF((AND(I8&lt;&gt;"not enrolled",K8&lt;&gt;"not enrolled",M8&lt;&gt;"not enrolled",O8&lt;&gt;"not enrolled")),(G18/4), IF((AND(I8&lt;&gt;"not enrolled",K8&lt;&gt;"not enrolled",M8&lt;&gt;"not enrolled",O8="not enrolled")),(G18/3), IF((AND(I8&lt;&gt;"not enrolled",K8&lt;&gt;"not enrolled",M8="not enrolled",O8="not enrolled")),(G18/2), IF((AND(I8&lt;&gt;"not enrolled",K8="not enrolled",M8="not enrolled",O8="not enrolled")),(G18/1), 0))))</f>
        <v>0</v>
      </c>
      <c r="J18" s="15"/>
      <c r="K18" s="16">
        <f>IF((AND(I8&lt;&gt;"not enrolled",K8&lt;&gt;"not enrolled",M8&lt;&gt;"not enrolled",O8&lt;&gt;"not enrolled")),(G18/4), IF((AND(I8&lt;&gt;"not enrolled",K8&lt;&gt;"not enrolled",M8&lt;&gt;"not enrolled",O8="not enrolled")),(G18/3), IF((AND(I8="not enrolled",K8&lt;&gt;"not enrolled",M8&lt;&gt;"not enrolled",O8&lt;&gt;"not enrolled")),(G18/3), IF((AND(I8&lt;&gt;"not enrolled",K8&lt;&gt;"not enrolled",M8="not enrolled",O8="not enrolled")),(G18/2), 0))))</f>
        <v>0</v>
      </c>
      <c r="L18" s="16"/>
      <c r="M18" s="16">
        <f>IF((AND(I8&lt;&gt;"not enrolled",K8&lt;&gt;"not enrolled",M8&lt;&gt;"not enrolled",O8&lt;&gt;"not enrolled")),(G18/4), IF((AND(I8&lt;&gt;"not enrolled",K8&lt;&gt;"not enrolled",M8&lt;&gt;"not enrolled",O8="not enrolled")),(G18/3), IF((AND(I8="not enrolled",K8&lt;&gt;"not enrolled",M8&lt;&gt;"not enrolled",O8&lt;&gt;"not enrolled")),(G18/3), IF((AND(I8="not enrolled",K8="not enrolled",M8&lt;&gt;"not enrolled",O8&lt;&gt;"not enrolled")),(G18/2), 0))))</f>
        <v>0</v>
      </c>
      <c r="N18" s="16"/>
      <c r="O18" s="16">
        <f>IF((AND(I8&lt;&gt;"not enrolled",K8&lt;&gt;"not enrolled",M8&lt;&gt;"not enrolled",O8&lt;&gt;"not enrolled")),(G18/4), IF((AND(I8="not enrolled",K8&lt;&gt;"not enrolled",M8&lt;&gt;"not enrolled",O8&lt;&gt;"not enrolled")),(G18/3), IF((AND(I8="not enrolled",K8="not enrolled",M8&lt;&gt;"not enrolled",O8&lt;&gt;"not enrolled")),(G18/2),  IF((AND(I8="not enrolled",K8="not enrolled",M8="not enrolled",O8&lt;&gt;"not enrolled")),(G18), 0))))</f>
        <v>0</v>
      </c>
    </row>
    <row r="19" spans="2:15" ht="21.75" customHeight="1" x14ac:dyDescent="0.25">
      <c r="B19" t="s">
        <v>21</v>
      </c>
      <c r="E19" s="22"/>
      <c r="G19" s="6">
        <f>E19-(E19*0.01062)</f>
        <v>0</v>
      </c>
      <c r="I19" s="6">
        <f>IF((AND(I8&lt;&gt;"not enrolled",K8&lt;&gt;"not enrolled",M8&lt;&gt;"not enrolled",O8&lt;&gt;"not enrolled")),(G19/4), IF((AND(I8&lt;&gt;"not enrolled",K8&lt;&gt;"not enrolled",M8&lt;&gt;"not enrolled",O8="not enrolled")),(G19/3), IF((AND(I8&lt;&gt;"not enrolled",K8&lt;&gt;"not enrolled",M8="not enrolled",O8="not enrolled")),(G19/2), IF((AND(I8&lt;&gt;"not enrolled",K8="not enrolled",M8="not enrolled",O8="not enrolled")),(G19/1), 0))))</f>
        <v>0</v>
      </c>
      <c r="K19" s="6">
        <f>IF((AND(I8&lt;&gt;"not enrolled",K8&lt;&gt;"not enrolled",M8&lt;&gt;"not enrolled",O8&lt;&gt;"not enrolled")),(G19/4), IF((AND(I8&lt;&gt;"not enrolled",K8&lt;&gt;"not enrolled",M8&lt;&gt;"not enrolled",O8="not enrolled")),(G19/3), IF((AND(I8="not enrolled",K8&lt;&gt;"not enrolled",M8&lt;&gt;"not enrolled",O8&lt;&gt;"not enrolled")),(G19/3), IF((AND(I8&lt;&gt;"not enrolled",K8&lt;&gt;"not enrolled",M8="not enrolled",O8="not enrolled")),(G19/2), 0))))</f>
        <v>0</v>
      </c>
      <c r="M19" s="6">
        <f>IF((AND(I8&lt;&gt;"not enrolled",K8&lt;&gt;"not enrolled",M8&lt;&gt;"not enrolled",O8&lt;&gt;"not enrolled")),(G19/4), IF((AND(I8&lt;&gt;"not enrolled",K8&lt;&gt;"not enrolled",M8&lt;&gt;"not enrolled",O8="not enrolled")),(G19/3), IF((AND(I8="not enrolled",K8&lt;&gt;"not enrolled",M8&lt;&gt;"not enrolled",O8&lt;&gt;"not enrolled")),(G19/3), IF((AND(I8="not enrolled",K8="not enrolled",M8&lt;&gt;"not enrolled",O8&lt;&gt;"not enrolled")),(G19/2), 0))))</f>
        <v>0</v>
      </c>
      <c r="O19" s="6">
        <f>IF((AND(I8&lt;&gt;"not enrolled",K8&lt;&gt;"not enrolled",M8&lt;&gt;"not enrolled",O8&lt;&gt;"not enrolled")),(G19/4), IF((AND(I8="not enrolled",K8&lt;&gt;"not enrolled",M8&lt;&gt;"not enrolled",O8&lt;&gt;"not enrolled")),(G19/3), IF((AND(I8="not enrolled",K8="not enrolled",M8&lt;&gt;"not enrolled",O8&lt;&gt;"not enrolled")),(G19/2),  IF((AND(I8="not enrolled",K8="not enrolled",M8="not enrolled",O8&lt;&gt;"not enrolled")),(G19), 0))))</f>
        <v>0</v>
      </c>
    </row>
    <row r="20" spans="2:15" ht="21.75" customHeight="1" x14ac:dyDescent="0.25">
      <c r="B20" s="15" t="s">
        <v>22</v>
      </c>
      <c r="C20" s="15"/>
      <c r="D20" s="15"/>
      <c r="E20" s="22"/>
      <c r="F20" s="15"/>
      <c r="G20" s="16">
        <f>E20-(E20*0.04248)</f>
        <v>0</v>
      </c>
      <c r="H20" s="15"/>
      <c r="I20" s="16">
        <f>IF((AND(I8&lt;&gt;"not enrolled",K8&lt;&gt;"not enrolled",M8&lt;&gt;"not enrolled",O8&lt;&gt;"not enrolled")),(G20/4), IF((AND(I8&lt;&gt;"not enrolled",K8&lt;&gt;"not enrolled",M8&lt;&gt;"not enrolled",O8="not enrolled")),(G20/3), IF((AND(I8&lt;&gt;"not enrolled",K8&lt;&gt;"not enrolled",M8="not enrolled",O8="not enrolled")),(G20/2), IF((AND(I8&lt;&gt;"not enrolled",K8="not enrolled",M8="not enrolled",O8="not enrolled")),(G20/1), 0))))</f>
        <v>0</v>
      </c>
      <c r="J20" s="15"/>
      <c r="K20" s="16">
        <f>IF((AND(I8&lt;&gt;"not enrolled",K8&lt;&gt;"not enrolled",M8&lt;&gt;"not enrolled",O8&lt;&gt;"not enrolled")),(G20/4), IF((AND(I8&lt;&gt;"not enrolled",K8&lt;&gt;"not enrolled",M8&lt;&gt;"not enrolled",O8="not enrolled")),(G20/3), IF((AND(I8="not enrolled",K8&lt;&gt;"not enrolled",M8&lt;&gt;"not enrolled",O8&lt;&gt;"not enrolled")),(G20/3), IF((AND(I8&lt;&gt;"not enrolled",K8&lt;&gt;"not enrolled",M8="not enrolled",O8="not enrolled")),(G20/2), 0))))</f>
        <v>0</v>
      </c>
      <c r="L20" s="16"/>
      <c r="M20" s="16">
        <f>IF((AND(I8&lt;&gt;"not enrolled",K8&lt;&gt;"not enrolled",M8&lt;&gt;"not enrolled",O8&lt;&gt;"not enrolled")),(G20/4), IF((AND(I8&lt;&gt;"not enrolled",K8&lt;&gt;"not enrolled",M8&lt;&gt;"not enrolled",O8="not enrolled")),(G20/3), IF((AND(I8="not enrolled",K8&lt;&gt;"not enrolled",M8&lt;&gt;"not enrolled",O8&lt;&gt;"not enrolled")),(G20/3), IF((AND(I8="not enrolled",K8="not enrolled",M8&lt;&gt;"not enrolled",O8&lt;&gt;"not enrolled")),(G20/2), 0))))</f>
        <v>0</v>
      </c>
      <c r="N20" s="16"/>
      <c r="O20" s="16">
        <f>IF((AND(I8&lt;&gt;"not enrolled",K8&lt;&gt;"not enrolled",M8&lt;&gt;"not enrolled",O8&lt;&gt;"not enrolled")),(G20/4), IF((AND(I8="not enrolled",K8&lt;&gt;"not enrolled",M8&lt;&gt;"not enrolled",O8&lt;&gt;"not enrolled")),(G20/3), IF((AND(I8="not enrolled",K8="not enrolled",M8&lt;&gt;"not enrolled",O8&lt;&gt;"not enrolled")),(G20/2),  IF((AND(I8="not enrolled",K8="not enrolled",M8="not enrolled",O8&lt;&gt;"not enrolled")),(G20), 0))))</f>
        <v>0</v>
      </c>
    </row>
    <row r="21" spans="2:15" ht="21.75" customHeight="1" x14ac:dyDescent="0.25">
      <c r="B21" t="s">
        <v>9</v>
      </c>
      <c r="G21" s="21"/>
      <c r="I21" s="6">
        <f>IF((AND(I8&lt;&gt;"not enrolled",K8&lt;&gt;"not enrolled",M8&lt;&gt;"not enrolled",O8&lt;&gt;"not enrolled")),(G21/4), IF((AND(I8&lt;&gt;"not enrolled",K8&lt;&gt;"not enrolled",M8&lt;&gt;"not enrolled",O8="not enrolled")),(G21/3), IF((AND(I8&lt;&gt;"not enrolled",K8&lt;&gt;"not enrolled",M8="not enrolled",O8="not enrolled")),(G21/2), IF((AND(I8&lt;&gt;"not enrolled",K8="not enrolled",M8="not enrolled",O8="not enrolled")),(G21/1), 0))))</f>
        <v>0</v>
      </c>
      <c r="K21" s="6">
        <f>IF((AND(I8&lt;&gt;"not enrolled",K8&lt;&gt;"not enrolled",M8&lt;&gt;"not enrolled",O8&lt;&gt;"not enrolled")),(G21/4), IF((AND(I8&lt;&gt;"not enrolled",K8&lt;&gt;"not enrolled",M8&lt;&gt;"not enrolled",O8="not enrolled")),(G21/3), IF((AND(I8="not enrolled",K8&lt;&gt;"not enrolled",M8&lt;&gt;"not enrolled",O8&lt;&gt;"not enrolled")),(G21/3), IF((AND(I8&lt;&gt;"not enrolled",K8&lt;&gt;"not enrolled",M8="not enrolled",O8="not enrolled")),(G21/2), 0))))</f>
        <v>0</v>
      </c>
      <c r="M21" s="6">
        <f>IF((AND(I8&lt;&gt;"not enrolled",K8&lt;&gt;"not enrolled",M8&lt;&gt;"not enrolled",O8&lt;&gt;"not enrolled")),(G21/4), IF((AND(I8&lt;&gt;"not enrolled",K8&lt;&gt;"not enrolled",M8&lt;&gt;"not enrolled",O8="not enrolled")),(G21/3), IF((AND(I8="not enrolled",K8&lt;&gt;"not enrolled",M8&lt;&gt;"not enrolled",O8&lt;&gt;"not enrolled")),(G21/3), IF((AND(I8="not enrolled",K8="not enrolled",M8&lt;&gt;"not enrolled",O8&lt;&gt;"not enrolled")),(G21/2), 0))))</f>
        <v>0</v>
      </c>
      <c r="O21" s="6">
        <f>IF((AND(I8&lt;&gt;"not enrolled",K8&lt;&gt;"not enrolled",M8&lt;&gt;"not enrolled",O8&lt;&gt;"not enrolled")),(G21/4), IF((AND(I8="not enrolled",K8&lt;&gt;"not enrolled",M8&lt;&gt;"not enrolled",O8&lt;&gt;"not enrolled")),(G21/3), IF((AND(I8="not enrolled",K8="not enrolled",M8&lt;&gt;"not enrolled",O8&lt;&gt;"not enrolled")),(G21/2),  IF((AND(I8="not enrolled",K8="not enrolled",M8="not enrolled",O8&lt;&gt;"not enrolled")),(G21), 0))))</f>
        <v>0</v>
      </c>
    </row>
    <row r="22" spans="2:15" ht="21.75" customHeight="1" x14ac:dyDescent="0.25">
      <c r="B22" s="92" t="s">
        <v>44</v>
      </c>
      <c r="C22" s="92"/>
      <c r="D22" s="92"/>
      <c r="E22" s="92"/>
      <c r="F22" s="92"/>
      <c r="G22" s="34">
        <f>I22+K22+M22+O22</f>
        <v>0</v>
      </c>
      <c r="H22" s="33"/>
      <c r="I22" s="23"/>
      <c r="J22" s="33"/>
      <c r="K22" s="23"/>
      <c r="L22" s="41"/>
      <c r="M22" s="23"/>
      <c r="N22" s="41"/>
      <c r="O22" s="23"/>
    </row>
    <row r="23" spans="2:15" ht="21.75" customHeight="1" x14ac:dyDescent="0.25">
      <c r="C23" s="12" t="s">
        <v>10</v>
      </c>
      <c r="G23" s="6">
        <f>SUM(G17:G22)</f>
        <v>0</v>
      </c>
      <c r="I23" s="6">
        <f>SUM(I17:I22)</f>
        <v>0</v>
      </c>
      <c r="K23" s="6">
        <f>SUM(K17:K22)</f>
        <v>0</v>
      </c>
      <c r="M23" s="6">
        <f>SUM(M17:M22)</f>
        <v>0</v>
      </c>
      <c r="O23" s="6">
        <f>SUM(O17:O22)</f>
        <v>0</v>
      </c>
    </row>
    <row r="24" spans="2:15" ht="15.75" thickBot="1" x14ac:dyDescent="0.3"/>
    <row r="25" spans="2:15" ht="21.75" customHeight="1" thickTop="1" thickBot="1" x14ac:dyDescent="0.35">
      <c r="B25" s="19" t="s">
        <v>12</v>
      </c>
      <c r="C25" s="18"/>
      <c r="D25" s="18"/>
      <c r="E25" s="18"/>
      <c r="F25" s="18"/>
      <c r="G25" s="30" t="e">
        <f>G14-G23</f>
        <v>#N/A</v>
      </c>
      <c r="H25" s="31"/>
      <c r="I25" s="30" t="e">
        <f>I14-I23</f>
        <v>#N/A</v>
      </c>
      <c r="J25" s="31"/>
      <c r="K25" s="30" t="e">
        <f>K14-K23</f>
        <v>#N/A</v>
      </c>
      <c r="L25" s="30"/>
      <c r="M25" s="30" t="e">
        <f>M14-M23</f>
        <v>#N/A</v>
      </c>
      <c r="N25" s="30"/>
      <c r="O25" s="30" t="e">
        <f>O14-O23</f>
        <v>#N/A</v>
      </c>
    </row>
    <row r="26" spans="2:15" ht="15.75" thickTop="1" x14ac:dyDescent="0.25"/>
    <row r="27" spans="2:15" x14ac:dyDescent="0.25">
      <c r="B27" s="12" t="s">
        <v>13</v>
      </c>
    </row>
    <row r="28" spans="2:15" ht="37.5" customHeight="1" x14ac:dyDescent="0.25">
      <c r="B28" s="96" t="s">
        <v>82</v>
      </c>
      <c r="C28" s="90"/>
      <c r="D28" s="90"/>
      <c r="E28" s="90"/>
      <c r="F28" s="90"/>
      <c r="G28" s="90"/>
      <c r="H28" s="90"/>
      <c r="I28" s="90"/>
      <c r="J28" s="90"/>
      <c r="K28" s="90"/>
      <c r="L28" s="90"/>
      <c r="M28" s="90"/>
      <c r="N28" s="90"/>
      <c r="O28" s="90"/>
    </row>
    <row r="29" spans="2:15" ht="21.75" customHeight="1" x14ac:dyDescent="0.25">
      <c r="B29" s="91" t="s">
        <v>20</v>
      </c>
      <c r="C29" s="91"/>
      <c r="D29" s="91"/>
      <c r="E29" s="91"/>
      <c r="F29" s="91"/>
      <c r="G29" s="91"/>
      <c r="H29" s="91"/>
      <c r="I29" s="91"/>
      <c r="J29" s="91"/>
      <c r="K29" s="91"/>
      <c r="L29" s="91"/>
      <c r="M29" s="91"/>
      <c r="N29" s="91"/>
      <c r="O29" s="91"/>
    </row>
    <row r="30" spans="2:15" ht="21.75" customHeight="1" x14ac:dyDescent="0.25">
      <c r="B30" t="s">
        <v>25</v>
      </c>
    </row>
    <row r="31" spans="2:15" ht="51" customHeight="1" x14ac:dyDescent="0.25">
      <c r="B31" s="90" t="s">
        <v>26</v>
      </c>
      <c r="C31" s="90"/>
      <c r="D31" s="90"/>
      <c r="E31" s="90"/>
      <c r="F31" s="90"/>
      <c r="G31" s="90"/>
      <c r="H31" s="90"/>
      <c r="I31" s="90"/>
      <c r="J31" s="90"/>
      <c r="K31" s="90"/>
      <c r="L31" s="90"/>
      <c r="M31" s="90"/>
      <c r="N31" s="90"/>
      <c r="O31" s="90"/>
    </row>
    <row r="32" spans="2:15" ht="21.75" customHeight="1" x14ac:dyDescent="0.25"/>
    <row r="34" spans="2:15" x14ac:dyDescent="0.25">
      <c r="B34" s="82" t="s">
        <v>14</v>
      </c>
      <c r="C34" s="82"/>
      <c r="D34" s="82"/>
      <c r="E34" s="82"/>
      <c r="F34" s="82"/>
      <c r="G34" s="82"/>
      <c r="H34" s="82"/>
      <c r="I34" s="82"/>
      <c r="J34" s="82"/>
      <c r="K34" s="82"/>
      <c r="L34" s="82"/>
      <c r="M34" s="82"/>
      <c r="N34" s="82"/>
      <c r="O34" s="82"/>
    </row>
  </sheetData>
  <sheetProtection sheet="1" selectLockedCells="1"/>
  <mergeCells count="8">
    <mergeCell ref="B31:O31"/>
    <mergeCell ref="B34:O34"/>
    <mergeCell ref="G5:I5"/>
    <mergeCell ref="G2:O2"/>
    <mergeCell ref="C12:D12"/>
    <mergeCell ref="B22:F22"/>
    <mergeCell ref="B28:O28"/>
    <mergeCell ref="B29:O29"/>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Data!$F$59:$F$76</xm:f>
          </x14:formula1>
          <xm:sqref>I8</xm:sqref>
        </x14:dataValidation>
        <x14:dataValidation type="list" allowBlank="1" showInputMessage="1" showErrorMessage="1">
          <x14:formula1>
            <xm:f>Data!$A$75:$A$82</xm:f>
          </x14:formula1>
          <xm:sqref>G5</xm:sqref>
        </x14:dataValidation>
        <x14:dataValidation type="list" allowBlank="1" showInputMessage="1" showErrorMessage="1">
          <x14:formula1>
            <xm:f>Data!$F$59:$F$76</xm:f>
          </x14:formula1>
          <xm:sqref>K8</xm:sqref>
        </x14:dataValidation>
        <x14:dataValidation type="list" allowBlank="1" showInputMessage="1" showErrorMessage="1">
          <x14:formula1>
            <xm:f>Data!$F$59:$F$76</xm:f>
          </x14:formula1>
          <xm:sqref>M8</xm:sqref>
        </x14:dataValidation>
        <x14:dataValidation type="list" allowBlank="1" showInputMessage="1" showErrorMessage="1">
          <x14:formula1>
            <xm:f>Data!$F$59:$F$76</xm:f>
          </x14:formula1>
          <xm:sqref>O8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showRowColHeaders="0" showRuler="0" zoomScaleNormal="100" workbookViewId="0">
      <selection activeCell="I6" sqref="I6"/>
    </sheetView>
  </sheetViews>
  <sheetFormatPr defaultRowHeight="15" x14ac:dyDescent="0.25"/>
  <cols>
    <col min="1" max="1" width="4.140625" customWidth="1"/>
    <col min="4" max="4" width="26.140625" customWidth="1"/>
    <col min="5" max="5" width="11.5703125" bestFit="1" customWidth="1"/>
    <col min="7" max="7" width="13.140625" style="6" customWidth="1"/>
    <col min="8" max="8" width="4.7109375" customWidth="1"/>
    <col min="9" max="9" width="13.5703125" style="6" customWidth="1"/>
    <col min="10" max="10" width="4.7109375" customWidth="1"/>
    <col min="11" max="11" width="13.5703125" style="6" customWidth="1"/>
    <col min="12" max="12" width="4.7109375" style="6" customWidth="1"/>
    <col min="13" max="13" width="13.5703125" style="6" customWidth="1"/>
    <col min="14" max="14" width="3.5703125" customWidth="1"/>
  </cols>
  <sheetData>
    <row r="1" spans="2:14" ht="17.25" customHeight="1" x14ac:dyDescent="0.25"/>
    <row r="2" spans="2:14" ht="47.25" customHeight="1" x14ac:dyDescent="0.25">
      <c r="F2" s="98" t="s">
        <v>150</v>
      </c>
      <c r="G2" s="98"/>
      <c r="H2" s="98"/>
      <c r="I2" s="98"/>
      <c r="J2" s="98"/>
      <c r="K2" s="98"/>
      <c r="L2" s="98"/>
      <c r="M2" s="98"/>
      <c r="N2" s="98"/>
    </row>
    <row r="3" spans="2:14" ht="8.25" customHeight="1" x14ac:dyDescent="0.25">
      <c r="B3" s="24"/>
      <c r="C3" s="24"/>
      <c r="D3" s="24"/>
      <c r="E3" s="24"/>
      <c r="F3" s="24"/>
      <c r="G3" s="25"/>
      <c r="H3" s="26"/>
      <c r="I3" s="26"/>
      <c r="J3" s="26"/>
      <c r="K3" s="26"/>
      <c r="L3" s="26"/>
      <c r="M3" s="26"/>
      <c r="N3" s="26"/>
    </row>
    <row r="4" spans="2:14" ht="12" customHeight="1" x14ac:dyDescent="0.25">
      <c r="B4" s="86"/>
      <c r="C4" s="86"/>
      <c r="D4" s="86"/>
      <c r="E4" s="86"/>
      <c r="F4" s="86"/>
      <c r="G4" s="86"/>
      <c r="H4" s="86"/>
      <c r="I4" s="86"/>
      <c r="J4" s="86"/>
      <c r="K4" s="86"/>
      <c r="L4" s="86"/>
      <c r="M4" s="86"/>
      <c r="N4" s="86"/>
    </row>
    <row r="5" spans="2:14" ht="19.5" customHeight="1" x14ac:dyDescent="0.25">
      <c r="I5" s="75" t="s">
        <v>137</v>
      </c>
      <c r="K5" s="75" t="s">
        <v>138</v>
      </c>
      <c r="M5" s="75" t="s">
        <v>139</v>
      </c>
    </row>
    <row r="6" spans="2:14" ht="18" customHeight="1" x14ac:dyDescent="0.3">
      <c r="C6" s="8" t="s">
        <v>15</v>
      </c>
      <c r="D6" s="35"/>
      <c r="E6" s="35"/>
      <c r="F6" s="35"/>
      <c r="G6" s="35"/>
      <c r="H6" s="35"/>
      <c r="I6" s="74"/>
      <c r="K6" s="74"/>
      <c r="L6" s="27"/>
      <c r="M6" s="74"/>
      <c r="N6" s="35"/>
    </row>
    <row r="7" spans="2:14" ht="6" customHeight="1" x14ac:dyDescent="0.25"/>
    <row r="8" spans="2:14" ht="15.75" thickBot="1" x14ac:dyDescent="0.3">
      <c r="B8" s="1" t="s">
        <v>7</v>
      </c>
      <c r="C8" s="2"/>
      <c r="D8" s="2"/>
      <c r="E8" s="2"/>
      <c r="F8" s="2"/>
      <c r="G8" s="5" t="s">
        <v>3</v>
      </c>
      <c r="H8" s="4"/>
      <c r="I8" s="5" t="s">
        <v>93</v>
      </c>
      <c r="J8" s="4"/>
      <c r="K8" s="5" t="s">
        <v>94</v>
      </c>
      <c r="L8" s="5"/>
      <c r="M8" s="5" t="s">
        <v>95</v>
      </c>
      <c r="N8" s="2"/>
    </row>
    <row r="9" spans="2:14" ht="9" customHeight="1" x14ac:dyDescent="0.25"/>
    <row r="10" spans="2:14" ht="21.75" customHeight="1" x14ac:dyDescent="0.25">
      <c r="B10" s="14" t="s">
        <v>1</v>
      </c>
      <c r="C10" s="89"/>
      <c r="D10" s="89"/>
      <c r="E10" s="15"/>
      <c r="F10" s="15"/>
      <c r="G10" s="16" t="e">
        <f>I10+K10+M10</f>
        <v>#N/A</v>
      </c>
      <c r="H10" s="15"/>
      <c r="I10" s="16" t="e">
        <f>VLOOKUP(I6, Data!G33:H52, 2, FALSE)</f>
        <v>#N/A</v>
      </c>
      <c r="J10" s="15"/>
      <c r="K10" s="16" t="e">
        <f>VLOOKUP(K6, Data!G33:H52, 2, FALSE)</f>
        <v>#N/A</v>
      </c>
      <c r="L10" s="16"/>
      <c r="M10" s="16" t="e">
        <f>VLOOKUP(M6, Data!G33:H52, 2, FALSE)</f>
        <v>#N/A</v>
      </c>
      <c r="N10" s="15"/>
    </row>
    <row r="11" spans="2:14" ht="21.75" customHeight="1" x14ac:dyDescent="0.25">
      <c r="B11" s="73" t="s">
        <v>0</v>
      </c>
    </row>
    <row r="12" spans="2:14" ht="21.75" customHeight="1" x14ac:dyDescent="0.25">
      <c r="B12" s="17" t="s">
        <v>2</v>
      </c>
      <c r="C12" s="15"/>
      <c r="D12" s="15"/>
      <c r="E12" s="15"/>
      <c r="F12" s="15"/>
      <c r="G12" s="16" t="e">
        <f>I12+K12+M12</f>
        <v>#N/A</v>
      </c>
      <c r="H12" s="15"/>
      <c r="I12" s="16" t="e">
        <f>VLOOKUP(I6, Data!G33:I52, 3, FALSE)</f>
        <v>#N/A</v>
      </c>
      <c r="J12" s="15"/>
      <c r="K12" s="16" t="e">
        <f>VLOOKUP(K6, Data!G33:I52, 3, FALSE)</f>
        <v>#N/A</v>
      </c>
      <c r="L12" s="16"/>
      <c r="M12" s="16" t="e">
        <f>VLOOKUP(M6, Data!G33:I52, 3, FALSE)</f>
        <v>#N/A</v>
      </c>
      <c r="N12" s="15"/>
    </row>
    <row r="13" spans="2:14" ht="21.75" customHeight="1" x14ac:dyDescent="0.25">
      <c r="B13" s="56" t="s">
        <v>19</v>
      </c>
      <c r="G13" s="6" t="e">
        <f>I13+K13+M13</f>
        <v>#N/A</v>
      </c>
      <c r="I13" s="6" t="e">
        <f>VLOOKUP(I6, Data!G33:J52, 4, FALSE)</f>
        <v>#N/A</v>
      </c>
      <c r="K13" s="6" t="e">
        <f>VLOOKUP(K6, Data!G33:J52, 4, FALSE)</f>
        <v>#N/A</v>
      </c>
      <c r="M13" s="6" t="e">
        <f>VLOOKUP(M6, Data!G33:J52, 4, FALSE)</f>
        <v>#N/A</v>
      </c>
    </row>
    <row r="14" spans="2:14" ht="21.75" customHeight="1" x14ac:dyDescent="0.25">
      <c r="B14" s="102" t="s">
        <v>154</v>
      </c>
      <c r="C14" s="102"/>
      <c r="D14" s="103"/>
      <c r="E14" s="38"/>
      <c r="F14" s="36"/>
      <c r="G14" s="37">
        <f>I14+K14+M14</f>
        <v>0</v>
      </c>
      <c r="H14" s="36"/>
      <c r="I14" s="37">
        <f>IF(AND(E14="Yes", I6&lt;&gt;"not enrolled"), (VLOOKUP(E14, Data!A24:C25, 2, FALSE)), 0)</f>
        <v>0</v>
      </c>
      <c r="J14" s="36"/>
      <c r="K14" s="37">
        <v>0</v>
      </c>
      <c r="L14" s="37"/>
      <c r="M14" s="37">
        <f>IF(AND(E14="Yes", M6&lt;&gt;"not enrolled"), (VLOOKUP(E14, Data!A24:C25, 2, FALSE)), 0)</f>
        <v>0</v>
      </c>
      <c r="N14" s="36"/>
    </row>
    <row r="15" spans="2:14" s="32" customFormat="1" ht="21.75" customHeight="1" x14ac:dyDescent="0.25">
      <c r="B15" s="104" t="s">
        <v>153</v>
      </c>
      <c r="C15" s="104"/>
      <c r="D15" s="105"/>
      <c r="E15" s="101"/>
      <c r="F15" s="39"/>
      <c r="G15" s="40">
        <f>I15+K15+M15</f>
        <v>0</v>
      </c>
      <c r="H15" s="39"/>
      <c r="I15" s="40">
        <f>IF(AND(E15="Yes", I6&lt;&gt;"not enrolled"), (VLOOKUP(E15, Data!A24:C25, 3, FALSE)), 0)</f>
        <v>0</v>
      </c>
      <c r="J15" s="39"/>
      <c r="K15" s="40">
        <f>IF(AND(E15="Yes", K6&lt;&gt;"not enrolled"), (VLOOKUP(E15, Data!A24:C25, 3, FALSE)), 0)</f>
        <v>0</v>
      </c>
      <c r="L15" s="40"/>
      <c r="M15" s="40">
        <f>IF(AND(E15="Yes", M6&lt;&gt;"not enrolled"), (VLOOKUP(E15, Data!A24:C25, 3, FALSE)), 0)</f>
        <v>0</v>
      </c>
      <c r="N15" s="39"/>
    </row>
    <row r="16" spans="2:14" ht="21.75" customHeight="1" x14ac:dyDescent="0.25">
      <c r="C16" s="12" t="s">
        <v>6</v>
      </c>
      <c r="G16" s="13" t="e">
        <f>SUM(G10, G12:G15)</f>
        <v>#N/A</v>
      </c>
      <c r="I16" s="13" t="e">
        <f>SUM(I10,I12:I15)</f>
        <v>#N/A</v>
      </c>
      <c r="K16" s="13" t="e">
        <f>SUM(K10,K12:K15)</f>
        <v>#N/A</v>
      </c>
      <c r="L16" s="13"/>
      <c r="M16" s="13" t="e">
        <f>SUM(M10,M12:M15)</f>
        <v>#N/A</v>
      </c>
    </row>
    <row r="17" spans="2:15" ht="24" customHeight="1" x14ac:dyDescent="0.25"/>
    <row r="18" spans="2:15" ht="15.75" thickBot="1" x14ac:dyDescent="0.3">
      <c r="B18" s="1" t="s">
        <v>11</v>
      </c>
      <c r="C18" s="2"/>
      <c r="D18" s="2"/>
      <c r="E18" s="2"/>
      <c r="F18" s="2"/>
      <c r="G18" s="5" t="s">
        <v>3</v>
      </c>
      <c r="H18" s="4"/>
      <c r="I18" s="5" t="s">
        <v>93</v>
      </c>
      <c r="J18" s="4"/>
      <c r="K18" s="5" t="s">
        <v>94</v>
      </c>
      <c r="L18" s="5"/>
      <c r="M18" s="5" t="s">
        <v>95</v>
      </c>
      <c r="N18" s="2"/>
    </row>
    <row r="19" spans="2:15" ht="21.75" customHeight="1" x14ac:dyDescent="0.25">
      <c r="B19" t="s">
        <v>16</v>
      </c>
      <c r="G19" s="20"/>
      <c r="I19" s="6">
        <f>IF((AND(I6&lt;&gt;"not enrolled", K6&lt;&gt;"not enrolled", M6&lt;&gt;"not enrolled")), (G19/3), IF((AND(I6&lt;&gt;"not enrolled", K6&lt;&gt;"not enrolled", M6="not enrolled")), (G19/2), IF((AND(I6&lt;&gt;"not enrolled", K6="not enrolled", M6="not enrolled")), (G19/1), 0)))</f>
        <v>0</v>
      </c>
      <c r="K19" s="6">
        <f>IF((AND(I6&lt;&gt;"not enrolled", K6&lt;&gt;"not enrolled", M6&lt;&gt;"not enrolled")), (G19/3), IF((AND(I6&lt;&gt;"not enrolled", K6&lt;&gt;"not enrolled", M6="not enrolled")), (G19/2), IF((AND(I6="not enrolled", K6&lt;&gt;"not enrolled", M6&lt;&gt;"not enrolled")), (G19/2), 0)))</f>
        <v>0</v>
      </c>
      <c r="M19" s="6">
        <f>IF((AND(I6&lt;&gt;"not enrolled", K6&lt;&gt;"not enrolled", M6&lt;&gt;"not enrolled")), (G19/3), IF((AND(I6="not enrolled", K6&lt;&gt;"not enrolled", M6&lt;&gt;"not enrolled")), (G19/2), IF((AND(I6="not enrolled", K6="not enrolled", M6&lt;&gt;"not enrolled")), (G19), 0)))</f>
        <v>0</v>
      </c>
    </row>
    <row r="20" spans="2:15" ht="21.75" customHeight="1" x14ac:dyDescent="0.25">
      <c r="B20" s="15" t="s">
        <v>8</v>
      </c>
      <c r="C20" s="15"/>
      <c r="D20" s="15"/>
      <c r="E20" s="15"/>
      <c r="F20" s="15"/>
      <c r="G20" s="21"/>
      <c r="H20" s="15"/>
      <c r="I20" s="16">
        <f>IF((AND(I6&lt;&gt;"not enrolled", K6&lt;&gt;"not enrolled", M6&lt;&gt;"not enrolled")), (G20/3), IF((AND(I6&lt;&gt;"not enrolled", K6&lt;&gt;"not enrolled", M6="not enrolled")), (G20/2), IF((AND(I6&lt;&gt;"not enrolled", K6="not enrolled", M6="not enrolled")), (G20/1), 0)))</f>
        <v>0</v>
      </c>
      <c r="J20" s="15"/>
      <c r="K20" s="16">
        <f>IF((AND(I6&lt;&gt;"not enrolled", K6&lt;&gt;"not enrolled", M6&lt;&gt;"not enrolled")), (G20/3), IF((AND(I6&lt;&gt;"not enrolled", K6&lt;&gt;"not enrolled", M6="not enrolled")), (G20/2), IF((AND(I6="not enrolled", K6&lt;&gt;"not enrolled", M6&lt;&gt;"not enrolled")), (G20/2), 0)))</f>
        <v>0</v>
      </c>
      <c r="L20" s="16"/>
      <c r="M20" s="16">
        <f>IF((AND(I6&lt;&gt;"not enrolled", K6&lt;&gt;"not enrolled", M6&lt;&gt;"not enrolled")), (G20/3), IF((AND(I6="not enrolled", K6&lt;&gt;"not enrolled", M6&lt;&gt;"not enrolled")), (G20/2), IF((AND(I6="not enrolled", K6="not enrolled", M6&lt;&gt;"not enrolled")), (G20), 0)))</f>
        <v>0</v>
      </c>
      <c r="N20" s="15"/>
    </row>
    <row r="21" spans="2:15" ht="21.75" customHeight="1" x14ac:dyDescent="0.25">
      <c r="B21" t="s">
        <v>21</v>
      </c>
      <c r="E21" s="22"/>
      <c r="G21" s="6">
        <f>E21-(E21*0.01062)</f>
        <v>0</v>
      </c>
      <c r="I21" s="6">
        <f>IF((AND(I6&lt;&gt;"not enrolled", K6&lt;&gt;"not enrolled", M6&lt;&gt;"not enrolled")), (G21/3), IF((AND(I6&lt;&gt;"not enrolled", K6&lt;&gt;"not enrolled", M6="not enrolled")), (G21/2), IF((AND(I6&lt;&gt;"not enrolled", K6="not enrolled", M6="not enrolled")), (G21/1), 0)))</f>
        <v>0</v>
      </c>
      <c r="K21" s="6">
        <f>IF((AND(I6&lt;&gt;"not enrolled", K6&lt;&gt;"not enrolled", M6&lt;&gt;"not enrolled")), (G21/3), IF((AND(I6&lt;&gt;"not enrolled", K6&lt;&gt;"not enrolled", M6="not enrolled")), (G21/2), IF((AND(I6="not enrolled", K6&lt;&gt;"not enrolled", M6&lt;&gt;"not enrolled")), (G21/2), 0)))</f>
        <v>0</v>
      </c>
      <c r="M21" s="6">
        <f>IF((AND(I6&lt;&gt;"not enrolled", K6&lt;&gt;"not enrolled", M6&lt;&gt;"not enrolled")), (G21/3), IF((AND(I6="not enrolled", K6&lt;&gt;"not enrolled", M6&lt;&gt;"not enrolled")), (G21/2), IF((AND(I6="not enrolled", K6="not enrolled", M6&lt;&gt;"not enrolled")), (G21), 0)))</f>
        <v>0</v>
      </c>
    </row>
    <row r="22" spans="2:15" ht="21.75" customHeight="1" x14ac:dyDescent="0.25">
      <c r="B22" s="15" t="s">
        <v>22</v>
      </c>
      <c r="C22" s="15"/>
      <c r="D22" s="15"/>
      <c r="E22" s="22"/>
      <c r="F22" s="15"/>
      <c r="G22" s="16">
        <f>E22-(E22*0.04248)</f>
        <v>0</v>
      </c>
      <c r="H22" s="15"/>
      <c r="I22" s="16">
        <f>IF((AND(I6&lt;&gt;"not enrolled", K6&lt;&gt;"not enrolled", M6&lt;&gt;"not enrolled")), (G22/3), IF((AND(I6&lt;&gt;"not enrolled", K6&lt;&gt;"not enrolled", M6="not enrolled")), (G22/2), IF((AND(I6&lt;&gt;"not enrolled", K6="not enrolled", M6="not enrolled")), (G22/1), 0)))</f>
        <v>0</v>
      </c>
      <c r="J22" s="15"/>
      <c r="K22" s="16">
        <f>IF((AND(I6&lt;&gt;"not enrolled", K6&lt;&gt;"not enrolled", M6&lt;&gt;"not enrolled")), (G22/3), IF((AND(I6&lt;&gt;"not enrolled", K6&lt;&gt;"not enrolled", M6="not enrolled")), (G22/2), IF((AND(I6="not enrolled", K6&lt;&gt;"not enrolled", M6&lt;&gt;"not enrolled")), (G22/2), 0)))</f>
        <v>0</v>
      </c>
      <c r="L22" s="16"/>
      <c r="M22" s="16">
        <f>IF((AND(I6&lt;&gt;"not enrolled", K6&lt;&gt;"not enrolled", M6&lt;&gt;"not enrolled")), (G22/3), IF((AND(I6="not enrolled", K6&lt;&gt;"not enrolled", M6&lt;&gt;"not enrolled")), (G22/2), IF((AND(I6="not enrolled", K6="not enrolled", M6&lt;&gt;"not enrolled")), (G22), 0)))</f>
        <v>0</v>
      </c>
      <c r="N22" s="15"/>
    </row>
    <row r="23" spans="2:15" ht="21.75" customHeight="1" x14ac:dyDescent="0.25">
      <c r="B23" s="91" t="s">
        <v>43</v>
      </c>
      <c r="C23" s="91"/>
      <c r="D23" s="91"/>
      <c r="E23" s="91"/>
      <c r="G23" s="21"/>
      <c r="I23" s="6">
        <f>IF((AND(I6&lt;&gt;"not enrolled", K6&lt;&gt;"not enrolled", M6&lt;&gt;"not enrolled")), (G23/3), IF((AND(I6&lt;&gt;"not enrolled", K6&lt;&gt;"not enrolled", M6="not enrolled")), (G23/2), IF((AND(I6&lt;&gt;"not enrolled", K6="not enrolled", M6="not enrolled")), (G23/1), 0)))</f>
        <v>0</v>
      </c>
      <c r="K23" s="6">
        <f>IF((AND(I6&lt;&gt;"not enrolled", K6&lt;&gt;"not enrolled", M6&lt;&gt;"not enrolled")), (G23/3), IF((AND(I6&lt;&gt;"not enrolled", K6&lt;&gt;"not enrolled", M6="not enrolled")), (G23/2), IF((AND(I6="not enrolled", K6&lt;&gt;"not enrolled", M6&lt;&gt;"not enrolled")), (G23/2), 0)))</f>
        <v>0</v>
      </c>
      <c r="M23" s="6">
        <f>IF((AND(I6&lt;&gt;"not enrolled", K6&lt;&gt;"not enrolled", M6&lt;&gt;"not enrolled")), (G23/3), IF((AND(I6="not enrolled", K6&lt;&gt;"not enrolled", M6&lt;&gt;"not enrolled")), (G23/2), IF((AND(I6="not enrolled", K6="not enrolled", M6&lt;&gt;"not enrolled")), (G23), 0)))</f>
        <v>0</v>
      </c>
    </row>
    <row r="24" spans="2:15" ht="21.75" customHeight="1" x14ac:dyDescent="0.25">
      <c r="B24" s="92" t="s">
        <v>44</v>
      </c>
      <c r="C24" s="92"/>
      <c r="D24" s="92"/>
      <c r="E24" s="92"/>
      <c r="F24" s="92"/>
      <c r="G24" s="34">
        <f>I24+K24+M24</f>
        <v>0</v>
      </c>
      <c r="H24" s="33"/>
      <c r="I24" s="23"/>
      <c r="J24" s="33"/>
      <c r="K24" s="23"/>
      <c r="L24" s="41"/>
      <c r="M24" s="29"/>
      <c r="N24" s="33"/>
    </row>
    <row r="25" spans="2:15" ht="21.75" customHeight="1" x14ac:dyDescent="0.25">
      <c r="C25" s="12" t="s">
        <v>10</v>
      </c>
      <c r="G25" s="6">
        <f>SUM(G19:G24)</f>
        <v>0</v>
      </c>
      <c r="I25" s="6">
        <f>SUM(I19:I24)</f>
        <v>0</v>
      </c>
      <c r="K25" s="6">
        <f>SUM(K19:K23,K24)</f>
        <v>0</v>
      </c>
      <c r="M25" s="6">
        <f>SUM(M19:M23,M24)</f>
        <v>0</v>
      </c>
    </row>
    <row r="26" spans="2:15" ht="15.75" thickBot="1" x14ac:dyDescent="0.3"/>
    <row r="27" spans="2:15" ht="21.75" customHeight="1" thickTop="1" thickBot="1" x14ac:dyDescent="0.35">
      <c r="B27" s="19" t="s">
        <v>12</v>
      </c>
      <c r="C27" s="18"/>
      <c r="D27" s="18"/>
      <c r="E27" s="18"/>
      <c r="F27" s="18"/>
      <c r="G27" s="30" t="e">
        <f>G16-G25</f>
        <v>#N/A</v>
      </c>
      <c r="H27" s="31"/>
      <c r="I27" s="30" t="e">
        <f>I16-I25</f>
        <v>#N/A</v>
      </c>
      <c r="J27" s="31"/>
      <c r="K27" s="30" t="e">
        <f>K16-K25</f>
        <v>#N/A</v>
      </c>
      <c r="L27" s="30"/>
      <c r="M27" s="30" t="e">
        <f>M16-M25</f>
        <v>#N/A</v>
      </c>
      <c r="N27" s="18"/>
    </row>
    <row r="28" spans="2:15" ht="15.75" thickTop="1" x14ac:dyDescent="0.25"/>
    <row r="29" spans="2:15" x14ac:dyDescent="0.25">
      <c r="B29" s="12" t="s">
        <v>13</v>
      </c>
    </row>
    <row r="30" spans="2:15" ht="21.75" customHeight="1" x14ac:dyDescent="0.25">
      <c r="B30" s="96" t="s">
        <v>148</v>
      </c>
      <c r="C30" s="90"/>
      <c r="D30" s="90"/>
      <c r="E30" s="90"/>
      <c r="F30" s="90"/>
      <c r="G30" s="90"/>
      <c r="H30" s="90"/>
      <c r="I30" s="90"/>
      <c r="J30" s="90"/>
      <c r="K30" s="90"/>
      <c r="L30" s="90"/>
      <c r="M30" s="90"/>
      <c r="N30" s="90"/>
      <c r="O30" s="90"/>
    </row>
    <row r="31" spans="2:15" ht="21.75" customHeight="1" x14ac:dyDescent="0.25">
      <c r="B31" s="91" t="s">
        <v>20</v>
      </c>
      <c r="C31" s="91"/>
      <c r="D31" s="91"/>
      <c r="E31" s="91"/>
      <c r="F31" s="91"/>
      <c r="G31" s="91"/>
      <c r="H31" s="91"/>
      <c r="I31" s="91"/>
      <c r="J31" s="91"/>
      <c r="K31" s="91"/>
      <c r="L31" s="91"/>
      <c r="M31" s="91"/>
      <c r="N31" s="91"/>
    </row>
    <row r="32" spans="2:15" ht="21.75" customHeight="1" x14ac:dyDescent="0.25">
      <c r="B32" t="s">
        <v>25</v>
      </c>
    </row>
    <row r="33" spans="2:14" ht="51" customHeight="1" x14ac:dyDescent="0.25">
      <c r="B33" s="90" t="s">
        <v>26</v>
      </c>
      <c r="C33" s="90"/>
      <c r="D33" s="90"/>
      <c r="E33" s="90"/>
      <c r="F33" s="90"/>
      <c r="G33" s="90"/>
      <c r="H33" s="90"/>
      <c r="I33" s="90"/>
      <c r="J33" s="90"/>
      <c r="K33" s="90"/>
      <c r="L33" s="90"/>
      <c r="M33" s="90"/>
      <c r="N33" s="90"/>
    </row>
    <row r="34" spans="2:14" ht="21.75" customHeight="1" x14ac:dyDescent="0.25"/>
    <row r="36" spans="2:14" x14ac:dyDescent="0.25">
      <c r="B36" s="82" t="s">
        <v>14</v>
      </c>
      <c r="C36" s="82"/>
      <c r="D36" s="82"/>
      <c r="E36" s="82"/>
      <c r="F36" s="82"/>
      <c r="G36" s="82"/>
      <c r="H36" s="82"/>
      <c r="I36" s="82"/>
      <c r="J36" s="82"/>
      <c r="K36" s="82"/>
      <c r="L36" s="82"/>
      <c r="M36" s="82"/>
      <c r="N36" s="82"/>
    </row>
  </sheetData>
  <sheetProtection sheet="1" selectLockedCells="1"/>
  <mergeCells count="11">
    <mergeCell ref="B31:N31"/>
    <mergeCell ref="B33:N33"/>
    <mergeCell ref="B36:N36"/>
    <mergeCell ref="F2:N2"/>
    <mergeCell ref="B30:O30"/>
    <mergeCell ref="B4:N4"/>
    <mergeCell ref="C10:D10"/>
    <mergeCell ref="B23:E23"/>
    <mergeCell ref="B24:F24"/>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Data!$G$33:$G$52</xm:f>
          </x14:formula1>
          <xm:sqref>M6</xm:sqref>
        </x14:dataValidation>
        <x14:dataValidation type="list" allowBlank="1" showInputMessage="1" showErrorMessage="1">
          <x14:formula1>
            <xm:f>Data!$A$24:$A$25</xm:f>
          </x14:formula1>
          <xm:sqref>E14:E15</xm:sqref>
        </x14:dataValidation>
        <x14:dataValidation type="list" allowBlank="1" showInputMessage="1" showErrorMessage="1">
          <x14:formula1>
            <xm:f>Data!$G$33:$G$52</xm:f>
          </x14:formula1>
          <xm:sqref>I6 K6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showRowColHeaders="0" showRuler="0" zoomScaleNormal="100" workbookViewId="0">
      <selection activeCell="G5" sqref="G5:H5"/>
    </sheetView>
  </sheetViews>
  <sheetFormatPr defaultRowHeight="15" x14ac:dyDescent="0.25"/>
  <cols>
    <col min="1" max="1" width="4.140625" customWidth="1"/>
    <col min="4" max="4" width="25.7109375" customWidth="1"/>
    <col min="5" max="5" width="11.5703125" bestFit="1" customWidth="1"/>
    <col min="7" max="7" width="13.140625" style="6" customWidth="1"/>
    <col min="8" max="8" width="4.7109375" customWidth="1"/>
    <col min="9" max="9" width="13.5703125" style="6" customWidth="1"/>
    <col min="10" max="10" width="4.7109375" customWidth="1"/>
    <col min="11" max="11" width="13.5703125" style="6" customWidth="1"/>
    <col min="12" max="12" width="4.7109375" style="6" customWidth="1"/>
    <col min="13" max="13" width="12.85546875" style="6" customWidth="1"/>
    <col min="14" max="14" width="3.5703125" customWidth="1"/>
  </cols>
  <sheetData>
    <row r="1" spans="2:15" ht="17.25" customHeight="1" x14ac:dyDescent="0.25"/>
    <row r="2" spans="2:15" ht="47.25" customHeight="1" x14ac:dyDescent="0.25">
      <c r="G2" s="87" t="s">
        <v>84</v>
      </c>
      <c r="H2" s="88"/>
      <c r="I2" s="88"/>
      <c r="J2" s="88"/>
      <c r="K2" s="88"/>
      <c r="L2" s="88"/>
      <c r="M2" s="88"/>
      <c r="N2" s="88"/>
    </row>
    <row r="3" spans="2:15" ht="8.25" customHeight="1" x14ac:dyDescent="0.25">
      <c r="B3" s="24"/>
      <c r="C3" s="24"/>
      <c r="D3" s="24"/>
      <c r="E3" s="24"/>
      <c r="F3" s="24"/>
      <c r="G3" s="25"/>
      <c r="H3" s="26"/>
      <c r="I3" s="26"/>
      <c r="J3" s="26"/>
      <c r="K3" s="26"/>
      <c r="L3" s="26"/>
      <c r="M3" s="26"/>
      <c r="N3" s="26"/>
    </row>
    <row r="4" spans="2:15" ht="9.75" customHeight="1" x14ac:dyDescent="0.25"/>
    <row r="5" spans="2:15" ht="18" customHeight="1" x14ac:dyDescent="0.3">
      <c r="B5" s="8" t="s">
        <v>23</v>
      </c>
      <c r="D5" s="35"/>
      <c r="E5" s="35"/>
      <c r="F5" s="35"/>
      <c r="G5" s="93"/>
      <c r="H5" s="94"/>
      <c r="I5"/>
      <c r="N5" s="6"/>
      <c r="O5" s="6"/>
    </row>
    <row r="6" spans="2:15" ht="9.75" customHeight="1" x14ac:dyDescent="0.25">
      <c r="N6" s="6"/>
      <c r="O6" s="6"/>
    </row>
    <row r="7" spans="2:15" ht="17.25" customHeight="1" thickBot="1" x14ac:dyDescent="0.3">
      <c r="I7" s="44" t="s">
        <v>137</v>
      </c>
      <c r="K7" s="44" t="s">
        <v>138</v>
      </c>
      <c r="M7" s="44" t="s">
        <v>139</v>
      </c>
      <c r="N7" s="6"/>
      <c r="O7" s="6"/>
    </row>
    <row r="8" spans="2:15" ht="18" customHeight="1" x14ac:dyDescent="0.3">
      <c r="C8" s="8" t="s">
        <v>73</v>
      </c>
      <c r="D8" s="35"/>
      <c r="E8" s="35"/>
      <c r="F8" s="35"/>
      <c r="G8" s="35"/>
      <c r="H8" s="35"/>
      <c r="I8" s="45"/>
      <c r="K8" s="45"/>
      <c r="L8" s="27"/>
      <c r="M8" s="45"/>
      <c r="N8" s="35"/>
    </row>
    <row r="9" spans="2:15" ht="15" customHeight="1" x14ac:dyDescent="0.25"/>
    <row r="10" spans="2:15" ht="15.75" thickBot="1" x14ac:dyDescent="0.3">
      <c r="B10" s="1" t="s">
        <v>7</v>
      </c>
      <c r="C10" s="2"/>
      <c r="D10" s="2"/>
      <c r="E10" s="2"/>
      <c r="F10" s="2"/>
      <c r="G10" s="5" t="s">
        <v>3</v>
      </c>
      <c r="H10" s="4"/>
      <c r="I10" s="5" t="s">
        <v>93</v>
      </c>
      <c r="J10" s="4"/>
      <c r="K10" s="5" t="s">
        <v>94</v>
      </c>
      <c r="L10" s="5"/>
      <c r="M10" s="5" t="s">
        <v>95</v>
      </c>
      <c r="N10" s="2"/>
    </row>
    <row r="11" spans="2:15" ht="9" customHeight="1" x14ac:dyDescent="0.25"/>
    <row r="12" spans="2:15" ht="21.75" customHeight="1" x14ac:dyDescent="0.25">
      <c r="B12" s="14" t="s">
        <v>1</v>
      </c>
      <c r="C12" s="89"/>
      <c r="D12" s="89"/>
      <c r="E12" s="15"/>
      <c r="F12" s="15"/>
      <c r="G12" s="16">
        <f>I12+K12+M12</f>
        <v>0</v>
      </c>
      <c r="H12" s="15"/>
      <c r="I12" s="16">
        <f>IF(G5="2018 Fall Quarter",(VLOOKUP(I8,Data!K59:L76,2,FALSE)),IF(G5="2019 Fall Quarter",(VLOOKUP(I8,Data!K59:M76,3,FALSE)),0))</f>
        <v>0</v>
      </c>
      <c r="J12" s="15"/>
      <c r="K12" s="16">
        <f>IF(G5="2018 Fall Quarter",(VLOOKUP(K8,Data!K59:L76,2,FALSE)),IF(G5="2019 Fall Quarter",(VLOOKUP(K8,Data!K59:M76,3,FALSE)),0))</f>
        <v>0</v>
      </c>
      <c r="L12" s="16"/>
      <c r="M12" s="16">
        <f>IF(G5="2018 Fall Quarter",(VLOOKUP(M8,Data!K59:L76,2,FALSE)),IF(G5="2019 Fall Quarter",(VLOOKUP(M8,Data!K59:M76,3,FALSE)),0))</f>
        <v>0</v>
      </c>
      <c r="N12" s="15"/>
    </row>
    <row r="13" spans="2:15" ht="21.75" customHeight="1" x14ac:dyDescent="0.25">
      <c r="B13" s="61" t="s">
        <v>2</v>
      </c>
      <c r="C13" s="32"/>
      <c r="D13" s="32"/>
      <c r="E13" s="32"/>
      <c r="F13" s="32"/>
      <c r="G13" s="62" t="e">
        <f>I13+K13+M13</f>
        <v>#N/A</v>
      </c>
      <c r="H13" s="32"/>
      <c r="I13" s="62" t="e">
        <f>VLOOKUP(I8,Data!K59:N76, 4, FALSE)</f>
        <v>#N/A</v>
      </c>
      <c r="J13" s="32"/>
      <c r="K13" s="62" t="e">
        <f>VLOOKUP(K8, Data!K59:N76, 4, FALSE)</f>
        <v>#N/A</v>
      </c>
      <c r="L13" s="62"/>
      <c r="M13" s="62" t="e">
        <f>VLOOKUP(M8,Data!K59:N76, 4, FALSE)</f>
        <v>#N/A</v>
      </c>
      <c r="N13" s="32"/>
    </row>
    <row r="14" spans="2:15" ht="21.75" customHeight="1" x14ac:dyDescent="0.25">
      <c r="B14" s="102" t="s">
        <v>154</v>
      </c>
      <c r="C14" s="102"/>
      <c r="D14" s="103"/>
      <c r="E14" s="38"/>
      <c r="F14" s="36"/>
      <c r="G14" s="37">
        <f>I14+K14+M14</f>
        <v>0</v>
      </c>
      <c r="H14" s="36"/>
      <c r="I14" s="37">
        <f>IF(AND(E14="Yes", I8&lt;&gt;"not enrolled"), (VLOOKUP(E14, Data!A24:B25, 2, FALSE)), 0)</f>
        <v>0</v>
      </c>
      <c r="J14" s="36"/>
      <c r="K14" s="37">
        <v>0</v>
      </c>
      <c r="L14" s="37"/>
      <c r="M14" s="37">
        <f>IF(AND(E14="Yes", M8&lt;&gt;"not enrolled"), (VLOOKUP(E14, Data!A24:B25, 2, FALSE)), 0)</f>
        <v>0</v>
      </c>
      <c r="N14" s="36"/>
    </row>
    <row r="15" spans="2:15" s="32" customFormat="1" ht="21.75" customHeight="1" x14ac:dyDescent="0.25">
      <c r="B15" s="104" t="s">
        <v>153</v>
      </c>
      <c r="C15" s="104"/>
      <c r="D15" s="105"/>
      <c r="E15" s="101"/>
      <c r="F15" s="39"/>
      <c r="G15" s="40">
        <f>I15+K15+M15</f>
        <v>0</v>
      </c>
      <c r="H15" s="39"/>
      <c r="I15" s="40">
        <f>IF(AND(E15="Yes",I8&lt;&gt;"not enrolled"),(VLOOKUP(E15,Data!A24:C25,3,FALSE)),0)</f>
        <v>0</v>
      </c>
      <c r="J15" s="39"/>
      <c r="K15" s="40">
        <f>IF(AND(E15="Yes",K8&lt;&gt;"not enrolled"),(VLOOKUP(E15,Data!A24:C25,3,FALSE)),0)</f>
        <v>0</v>
      </c>
      <c r="L15" s="40"/>
      <c r="M15" s="40">
        <f>IF(AND(E15="Yes",M8&lt;&gt;"not enrolled"),(VLOOKUP(E15,Data!A24:C25,3,FALSE)),0)</f>
        <v>0</v>
      </c>
      <c r="N15" s="39"/>
    </row>
    <row r="16" spans="2:15" ht="21.75" customHeight="1" x14ac:dyDescent="0.25">
      <c r="C16" s="12" t="s">
        <v>6</v>
      </c>
      <c r="G16" s="13" t="e">
        <f>SUM(G12, G13:G15)</f>
        <v>#N/A</v>
      </c>
      <c r="I16" s="13" t="e">
        <f>SUM(I12,I13:I15)</f>
        <v>#N/A</v>
      </c>
      <c r="K16" s="13" t="e">
        <f>SUM(K12,K13:K15)</f>
        <v>#N/A</v>
      </c>
      <c r="L16" s="13"/>
      <c r="M16" s="13" t="e">
        <f>SUM(M12,M13:M15)</f>
        <v>#N/A</v>
      </c>
    </row>
    <row r="17" spans="2:14" ht="24" customHeight="1" x14ac:dyDescent="0.25"/>
    <row r="18" spans="2:14" ht="15.75" thickBot="1" x14ac:dyDescent="0.3">
      <c r="B18" s="1" t="s">
        <v>11</v>
      </c>
      <c r="C18" s="2"/>
      <c r="D18" s="2"/>
      <c r="E18" s="2"/>
      <c r="F18" s="2"/>
      <c r="G18" s="5" t="s">
        <v>3</v>
      </c>
      <c r="H18" s="4"/>
      <c r="I18" s="5" t="s">
        <v>93</v>
      </c>
      <c r="J18" s="4"/>
      <c r="K18" s="5" t="s">
        <v>94</v>
      </c>
      <c r="L18" s="5"/>
      <c r="M18" s="5" t="s">
        <v>95</v>
      </c>
      <c r="N18" s="2"/>
    </row>
    <row r="19" spans="2:14" ht="21.75" customHeight="1" x14ac:dyDescent="0.25">
      <c r="B19" t="s">
        <v>16</v>
      </c>
      <c r="G19" s="20"/>
      <c r="I19" s="6">
        <f>IF((AND(I8&lt;&gt;"not enrolled", K8&lt;&gt;"not enrolled", M8&lt;&gt;"not enrolled")), (G19/3), IF((AND(I8&lt;&gt;"not enrolled", K8&lt;&gt;"not enrolled", M8="not enrolled")), (G19/2), IF((AND(I8&lt;&gt;"not enrolled", K8="not enrolled", M8="not enrolled")), (G19/1), 0)))</f>
        <v>0</v>
      </c>
      <c r="K19" s="6">
        <f>IF((AND(I8&lt;&gt;"not enrolled",K8&lt;&gt;"not enrolled",M8&lt;&gt;"not enrolled")),(G19/3),IF((AND(I8&lt;&gt;"not enrolled",K8&lt;&gt;"not enrolled",M8="not enrolled")),(G19/2),IF((AND(I8="not enrolled",K8&lt;&gt;"not enrolled",M8&lt;&gt;"not enrolled")),(G19/2),0)))</f>
        <v>0</v>
      </c>
      <c r="M19" s="6">
        <f>IF((AND(I8&lt;&gt;"not enrolled", K8&lt;&gt;"not enrolled", M8&lt;&gt;"not enrolled")), (G19/3), IF((AND(I8="not enrolled", K8&lt;&gt;"not enrolled", M8&lt;&gt;"not enrolled")), (G19/2), IF((AND(I8="not enrolled", K8="not enrolled", M8&lt;&gt;"not enrolled")), (G19), 0)))</f>
        <v>0</v>
      </c>
    </row>
    <row r="20" spans="2:14" ht="21.75" customHeight="1" x14ac:dyDescent="0.25">
      <c r="B20" s="15" t="s">
        <v>8</v>
      </c>
      <c r="C20" s="15"/>
      <c r="D20" s="15"/>
      <c r="E20" s="15"/>
      <c r="F20" s="15"/>
      <c r="G20" s="21"/>
      <c r="H20" s="15"/>
      <c r="I20" s="16">
        <f>IF((AND(I8&lt;&gt;"not enrolled", K8&lt;&gt;"not enrolled", M8&lt;&gt;"not enrolled")), (G20/3), IF((AND(I8&lt;&gt;"not enrolled", K8&lt;&gt;"not enrolled", M8="not enrolled")), (G20/2), IF((AND(I8&lt;&gt;"not enrolled", K8="not enrolled", M8="not enrolled")), (G20/1), 0)))</f>
        <v>0</v>
      </c>
      <c r="J20" s="15"/>
      <c r="K20" s="16">
        <f>IF((AND(I8&lt;&gt;"not enrolled", K8&lt;&gt;"not enrolled", M8&lt;&gt;"not enrolled")), (G20/3), IF((AND(I8&lt;&gt;"not enrolled", K8&lt;&gt;"not enrolled", M8="not enrolled")), (G20/2), IF((AND(I8="not enrolled", K8&lt;&gt;"not enrolled", M8&lt;&gt;"not enrolled")), (G20/2), 0)))</f>
        <v>0</v>
      </c>
      <c r="L20" s="16"/>
      <c r="M20" s="16">
        <f>IF((AND(I8&lt;&gt;"not enrolled", K8&lt;&gt;"not enrolled", M8&lt;&gt;"not enrolled")), (G20/3), IF((AND(I8="not enrolled", K8&lt;&gt;"not enrolled", M8&lt;&gt;"not enrolled")), (G20/2), IF((AND(I8="not enrolled", K8="not enrolled", M8&lt;&gt;"not enrolled")), (G20), 0)))</f>
        <v>0</v>
      </c>
      <c r="N20" s="15"/>
    </row>
    <row r="21" spans="2:14" ht="21.75" customHeight="1" x14ac:dyDescent="0.25">
      <c r="B21" t="s">
        <v>21</v>
      </c>
      <c r="E21" s="22"/>
      <c r="G21" s="6">
        <f>E21-(E21*0.01062)</f>
        <v>0</v>
      </c>
      <c r="I21" s="6">
        <f>IF((AND(I8&lt;&gt;"not enrolled", K8&lt;&gt;"not enrolled", M8&lt;&gt;"not enrolled")), (G21/3), IF((AND(I8&lt;&gt;"not enrolled", K8&lt;&gt;"not enrolled", M8="not enrolled")), (G21/2), IF((AND(I8&lt;&gt;"not enrolled", K8="not enrolled", M8="not enrolled")), (G21/1), 0)))</f>
        <v>0</v>
      </c>
      <c r="K21" s="6">
        <f>IF((AND(I8&lt;&gt;"not enrolled", K8&lt;&gt;"not enrolled", M8&lt;&gt;"not enrolled")), (G21/3), IF((AND(I8&lt;&gt;"not enrolled", K8&lt;&gt;"not enrolled", M8="not enrolled")), (G21/2), IF((AND(I8="not enrolled", K8&lt;&gt;"not enrolled", M8&lt;&gt;"not enrolled")), (G21/2), 0)))</f>
        <v>0</v>
      </c>
      <c r="M21" s="6">
        <f>IF((AND(I8&lt;&gt;"not enrolled", K8&lt;&gt;"not enrolled", M8&lt;&gt;"not enrolled")), (G21/3), IF((AND(I8="not enrolled", K8&lt;&gt;"not enrolled", M8&lt;&gt;"not enrolled")), (G21/2), IF((AND(I8="not enrolled", K8="not enrolled", M8&lt;&gt;"not enrolled")), (G21), 0)))</f>
        <v>0</v>
      </c>
    </row>
    <row r="22" spans="2:14" ht="21.75" customHeight="1" x14ac:dyDescent="0.25">
      <c r="B22" s="15" t="s">
        <v>22</v>
      </c>
      <c r="C22" s="15"/>
      <c r="D22" s="15"/>
      <c r="E22" s="22"/>
      <c r="F22" s="15"/>
      <c r="G22" s="16">
        <f>E22-(E22*0.04248)</f>
        <v>0</v>
      </c>
      <c r="H22" s="15"/>
      <c r="I22" s="16">
        <f>IF((AND(I8&lt;&gt;"not enrolled", K8&lt;&gt;"not enrolled", M8&lt;&gt;"not enrolled")), (G22/3), IF((AND(I8&lt;&gt;"not enrolled", K8&lt;&gt;"not enrolled", M8="not enrolled")), (G22/2), IF((AND(I8&lt;&gt;"not enrolled", K8="not enrolled", M8="not enrolled")), (G22/1), 0)))</f>
        <v>0</v>
      </c>
      <c r="J22" s="15"/>
      <c r="K22" s="16">
        <f>IF((AND(I8&lt;&gt;"not enrolled", K8&lt;&gt;"not enrolled", M8&lt;&gt;"not enrolled")), (G22/3), IF((AND(I8&lt;&gt;"not enrolled", K8&lt;&gt;"not enrolled", M8="not enrolled")), (G22/2), IF((AND(I8="not enrolled", K8&lt;&gt;"not enrolled", M8&lt;&gt;"not enrolled")), (G22/2), 0)))</f>
        <v>0</v>
      </c>
      <c r="L22" s="16"/>
      <c r="M22" s="16">
        <f>IF((AND(I8&lt;&gt;"not enrolled", K8&lt;&gt;"not enrolled", M8&lt;&gt;"not enrolled")), (G22/3), IF((AND(I8="not enrolled", K8&lt;&gt;"not enrolled", M8&lt;&gt;"not enrolled")), (G22/2), IF((AND(I8="not enrolled", K8="not enrolled", M8&lt;&gt;"not enrolled")), (G22), 0)))</f>
        <v>0</v>
      </c>
      <c r="N22" s="15"/>
    </row>
    <row r="23" spans="2:14" ht="21.75" customHeight="1" x14ac:dyDescent="0.25">
      <c r="B23" t="s">
        <v>9</v>
      </c>
      <c r="G23" s="21"/>
      <c r="I23" s="6">
        <f>IF((AND(I8&lt;&gt;"not enrolled", K8&lt;&gt;"not enrolled", M8&lt;&gt;"not enrolled")), (G23/3), IF((AND(I8&lt;&gt;"not enrolled", K8&lt;&gt;"not enrolled", M8="not enrolled")), (G23/2), IF((AND(I8&lt;&gt;"not enrolled", K8="not enrolled", M8="not enrolled")), (G23/1), 0)))</f>
        <v>0</v>
      </c>
      <c r="K23" s="6">
        <f>IF((AND(I8&lt;&gt;"not enrolled", K8&lt;&gt;"not enrolled", M8&lt;&gt;"not enrolled")), (G23/3), IF((AND(I8&lt;&gt;"not enrolled", K8&lt;&gt;"not enrolled", M8="not enrolled")), (G23/2), IF((AND(I8="not enrolled", K8&lt;&gt;"not enrolled", M8&lt;&gt;"not enrolled")), (G23/2), 0)))</f>
        <v>0</v>
      </c>
      <c r="M23" s="6">
        <f>IF((AND(I8&lt;&gt;"not enrolled", K8&lt;&gt;"not enrolled", M8&lt;&gt;"not enrolled")), (G23/3), IF((AND(I8="not enrolled", K8&lt;&gt;"not enrolled", M8&lt;&gt;"not enrolled")), (G23/2), IF((AND(I8="not enrolled", K8="not enrolled", M8&lt;&gt;"not enrolled")), (G23), 0)))</f>
        <v>0</v>
      </c>
    </row>
    <row r="24" spans="2:14" ht="21.75" customHeight="1" x14ac:dyDescent="0.25">
      <c r="B24" s="95" t="s">
        <v>44</v>
      </c>
      <c r="C24" s="95"/>
      <c r="D24" s="95"/>
      <c r="E24" s="95"/>
      <c r="F24" s="95"/>
      <c r="G24" s="10">
        <f>I24+K24+M24</f>
        <v>0</v>
      </c>
      <c r="H24" s="9"/>
      <c r="I24" s="23"/>
      <c r="J24" s="9"/>
      <c r="K24" s="23"/>
      <c r="L24" s="28"/>
      <c r="M24" s="29"/>
      <c r="N24" s="9"/>
    </row>
    <row r="25" spans="2:14" ht="21.75" customHeight="1" x14ac:dyDescent="0.25">
      <c r="C25" s="12" t="s">
        <v>10</v>
      </c>
      <c r="G25" s="6">
        <f>SUM(G19:G24)</f>
        <v>0</v>
      </c>
      <c r="I25" s="6">
        <f>SUM(I19:I24)</f>
        <v>0</v>
      </c>
      <c r="K25" s="6">
        <f>SUM(K19:K23,K24)</f>
        <v>0</v>
      </c>
      <c r="M25" s="6">
        <f>SUM(M19:M23,M24)</f>
        <v>0</v>
      </c>
    </row>
    <row r="26" spans="2:14" ht="15.75" thickBot="1" x14ac:dyDescent="0.3"/>
    <row r="27" spans="2:14" ht="21.75" customHeight="1" thickTop="1" thickBot="1" x14ac:dyDescent="0.35">
      <c r="B27" s="19" t="s">
        <v>12</v>
      </c>
      <c r="C27" s="18"/>
      <c r="D27" s="18"/>
      <c r="E27" s="18"/>
      <c r="F27" s="18"/>
      <c r="G27" s="30" t="e">
        <f>G16-G25</f>
        <v>#N/A</v>
      </c>
      <c r="H27" s="31"/>
      <c r="I27" s="30" t="e">
        <f>I16-I25</f>
        <v>#N/A</v>
      </c>
      <c r="J27" s="31"/>
      <c r="K27" s="30" t="e">
        <f>K16-K25</f>
        <v>#N/A</v>
      </c>
      <c r="L27" s="30"/>
      <c r="M27" s="30" t="e">
        <f>M16-M25</f>
        <v>#N/A</v>
      </c>
      <c r="N27" s="18"/>
    </row>
    <row r="28" spans="2:14" ht="15.75" thickTop="1" x14ac:dyDescent="0.25"/>
    <row r="29" spans="2:14" x14ac:dyDescent="0.25">
      <c r="B29" s="12" t="s">
        <v>13</v>
      </c>
    </row>
    <row r="30" spans="2:14" ht="36.75" customHeight="1" x14ac:dyDescent="0.25">
      <c r="B30" s="90" t="s">
        <v>86</v>
      </c>
      <c r="C30" s="90"/>
      <c r="D30" s="90"/>
      <c r="E30" s="90"/>
      <c r="F30" s="90"/>
      <c r="G30" s="90"/>
      <c r="H30" s="90"/>
      <c r="I30" s="90"/>
      <c r="J30" s="90"/>
      <c r="K30" s="90"/>
      <c r="L30" s="90"/>
      <c r="M30" s="90"/>
      <c r="N30" s="90"/>
    </row>
    <row r="31" spans="2:14" ht="21.75" customHeight="1" x14ac:dyDescent="0.25">
      <c r="B31" s="91" t="s">
        <v>20</v>
      </c>
      <c r="C31" s="91"/>
      <c r="D31" s="91"/>
      <c r="E31" s="91"/>
      <c r="F31" s="91"/>
      <c r="G31" s="91"/>
      <c r="H31" s="91"/>
      <c r="I31" s="91"/>
      <c r="J31" s="91"/>
      <c r="K31" s="91"/>
      <c r="L31" s="91"/>
      <c r="M31" s="91"/>
      <c r="N31" s="91"/>
    </row>
    <row r="32" spans="2:14" ht="21.75" customHeight="1" x14ac:dyDescent="0.25">
      <c r="B32" t="s">
        <v>25</v>
      </c>
    </row>
    <row r="33" spans="2:14" ht="51" customHeight="1" x14ac:dyDescent="0.25">
      <c r="B33" s="90" t="s">
        <v>26</v>
      </c>
      <c r="C33" s="90"/>
      <c r="D33" s="90"/>
      <c r="E33" s="90"/>
      <c r="F33" s="90"/>
      <c r="G33" s="90"/>
      <c r="H33" s="90"/>
      <c r="I33" s="90"/>
      <c r="J33" s="90"/>
      <c r="K33" s="90"/>
      <c r="L33" s="90"/>
      <c r="M33" s="90"/>
      <c r="N33" s="90"/>
    </row>
    <row r="34" spans="2:14" ht="21.75" customHeight="1" x14ac:dyDescent="0.25"/>
    <row r="36" spans="2:14" x14ac:dyDescent="0.25">
      <c r="B36" s="82" t="s">
        <v>14</v>
      </c>
      <c r="C36" s="82"/>
      <c r="D36" s="82"/>
      <c r="E36" s="82"/>
      <c r="F36" s="82"/>
      <c r="G36" s="82"/>
      <c r="H36" s="82"/>
      <c r="I36" s="82"/>
      <c r="J36" s="82"/>
      <c r="K36" s="82"/>
      <c r="L36" s="82"/>
      <c r="M36" s="82"/>
      <c r="N36" s="82"/>
    </row>
  </sheetData>
  <sheetProtection sheet="1" selectLockedCells="1"/>
  <mergeCells count="10">
    <mergeCell ref="B33:N33"/>
    <mergeCell ref="B36:N36"/>
    <mergeCell ref="G2:N2"/>
    <mergeCell ref="G5:H5"/>
    <mergeCell ref="C12:D12"/>
    <mergeCell ref="B24:F24"/>
    <mergeCell ref="B30:N30"/>
    <mergeCell ref="B31:N31"/>
    <mergeCell ref="B14:D14"/>
    <mergeCell ref="B15:D15"/>
  </mergeCells>
  <hyperlinks>
    <hyperlink ref="B14" r:id="rId1" display="Will you enroll in DU's health insurance plan?"/>
    <hyperlink ref="B15" r:id="rId2" display="Will you use DU Health &amp; Counseling Services? "/>
  </hyperlinks>
  <pageMargins left="0.5" right="0.5" top="0.5" bottom="0.5" header="0.3" footer="0.3"/>
  <pageSetup scale="72" orientation="portrait" r:id="rId3"/>
  <drawing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Data!$K$59:$K$76</xm:f>
          </x14:formula1>
          <xm:sqref>M8</xm:sqref>
        </x14:dataValidation>
        <x14:dataValidation type="list" allowBlank="1" showInputMessage="1" showErrorMessage="1">
          <x14:formula1>
            <xm:f>Data!$A$50:$A$51</xm:f>
          </x14:formula1>
          <xm:sqref>G5</xm:sqref>
        </x14:dataValidation>
        <x14:dataValidation type="list" allowBlank="1" showInputMessage="1" showErrorMessage="1">
          <x14:formula1>
            <xm:f>Data!$A$24:$A$25</xm:f>
          </x14:formula1>
          <xm:sqref>E14:E15</xm:sqref>
        </x14:dataValidation>
        <x14:dataValidation type="list" allowBlank="1" showInputMessage="1" showErrorMessage="1">
          <x14:formula1>
            <xm:f>Data!$K$59:$K$76</xm:f>
          </x14:formula1>
          <xm:sqref>I8</xm:sqref>
        </x14:dataValidation>
        <x14:dataValidation type="list" allowBlank="1" showInputMessage="1" showErrorMessage="1">
          <x14:formula1>
            <xm:f>Data!$K$59:$K$76</xm:f>
          </x14:formula1>
          <xm:sqref>K8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Worksheets Home</vt:lpstr>
      <vt:lpstr>Flat-Rate Programs</vt:lpstr>
      <vt:lpstr>Music</vt:lpstr>
      <vt:lpstr>Denver MBA</vt:lpstr>
      <vt:lpstr>PMBA</vt:lpstr>
      <vt:lpstr>EMBA</vt:lpstr>
      <vt:lpstr>MBA@Denver</vt:lpstr>
      <vt:lpstr>DCB BA</vt:lpstr>
      <vt:lpstr>Executive PhD</vt:lpstr>
      <vt:lpstr>GSSW 4C &amp; West</vt:lpstr>
      <vt:lpstr>MSW@Denver</vt:lpstr>
      <vt:lpstr>Korbel</vt:lpstr>
      <vt:lpstr>Online MCE</vt:lpstr>
      <vt:lpstr>DataScience@Denver</vt:lpstr>
      <vt:lpstr>Law</vt:lpstr>
      <vt:lpstr>Grad Tax</vt:lpstr>
      <vt:lpstr>University College</vt:lpstr>
      <vt:lpstr>Data</vt:lpstr>
      <vt:lpstr>Law Data</vt:lpstr>
      <vt:lpstr>'Law Data'!Credits</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2019-07-11T18:20:53Z</dcterms:modified>
</cp:coreProperties>
</file>