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146BFD21-FBD3-445C-948B-639DDE989649}" xr6:coauthVersionLast="47" xr6:coauthVersionMax="47" xr10:uidLastSave="{00000000-0000-0000-0000-000000000000}"/>
  <workbookProtection workbookAlgorithmName="SHA-512" workbookHashValue="hyr71g9U4e4t1mQxgu9eZQMgDCTvdXLnT+MG4Heo3169q8I5+JSMUIc3F1/jfqgDu2xONN+kYxvIMPdX0cIR9g==" workbookSaltValue="RXJrmsbFp3fho1vpJf4m2w==" workbookSpinCount="100000" lockStructure="1"/>
  <bookViews>
    <workbookView xWindow="31635" yWindow="1350" windowWidth="20925" windowHeight="12450" tabRatio="721" xr2:uid="{00000000-000D-0000-FFFF-FFFF00000000}"/>
  </bookViews>
  <sheets>
    <sheet name="Worksheets Home" sheetId="4" r:id="rId1"/>
    <sheet name="Most Programs" sheetId="1" r:id="rId2"/>
    <sheet name="Music Cert" sheetId="23" r:id="rId3"/>
    <sheet name="Data" sheetId="2" state="hidden" r:id="rId4"/>
  </sheets>
  <definedNames>
    <definedName name="Credits">Data!$A$5:$A$21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3" l="1"/>
  <c r="L17" i="23"/>
  <c r="N17" i="23" l="1"/>
  <c r="N19" i="1"/>
  <c r="L19" i="1"/>
  <c r="J19" i="1"/>
  <c r="L17" i="1"/>
  <c r="C32" i="23" l="1"/>
  <c r="N24" i="23" l="1"/>
  <c r="L24" i="23"/>
  <c r="J24" i="23"/>
  <c r="N23" i="23"/>
  <c r="L23" i="23"/>
  <c r="J23" i="23"/>
  <c r="N26" i="1"/>
  <c r="L26" i="1"/>
  <c r="J26" i="1"/>
  <c r="N25" i="1"/>
  <c r="L25" i="1"/>
  <c r="J25" i="1"/>
  <c r="N16" i="1" l="1"/>
  <c r="L16" i="1"/>
  <c r="J16" i="1"/>
  <c r="N14" i="23" l="1"/>
  <c r="L14" i="23"/>
  <c r="J14" i="23"/>
  <c r="C34" i="1"/>
  <c r="N15" i="1" l="1"/>
  <c r="L15" i="1"/>
  <c r="J15" i="1"/>
  <c r="N13" i="1"/>
  <c r="L13" i="1"/>
  <c r="J13" i="1"/>
  <c r="N17" i="1"/>
  <c r="J17" i="1"/>
  <c r="H17" i="1" l="1"/>
  <c r="H28" i="1"/>
  <c r="N27" i="1"/>
  <c r="L27" i="1"/>
  <c r="J27" i="1"/>
  <c r="H26" i="1"/>
  <c r="N24" i="1"/>
  <c r="L24" i="1"/>
  <c r="J24" i="1"/>
  <c r="N23" i="1"/>
  <c r="L23" i="1"/>
  <c r="J23" i="1"/>
  <c r="N18" i="1"/>
  <c r="J18" i="1"/>
  <c r="H15" i="1"/>
  <c r="N29" i="1" l="1"/>
  <c r="H25" i="1"/>
  <c r="H29" i="1" s="1"/>
  <c r="J29" i="1"/>
  <c r="L29" i="1"/>
  <c r="J20" i="1"/>
  <c r="L20" i="1"/>
  <c r="H18" i="1"/>
  <c r="H19" i="1"/>
  <c r="H16" i="1"/>
  <c r="N20" i="1"/>
  <c r="H13" i="1"/>
  <c r="N31" i="1" l="1"/>
  <c r="L31" i="1"/>
  <c r="J31" i="1"/>
  <c r="H20" i="1"/>
  <c r="H31" i="1" s="1"/>
  <c r="H24" i="23" l="1"/>
  <c r="N12" i="23" l="1"/>
  <c r="L12" i="23"/>
  <c r="J12" i="23"/>
  <c r="N15" i="23" l="1"/>
  <c r="L15" i="23"/>
  <c r="J15" i="23"/>
  <c r="H26" i="23"/>
  <c r="N25" i="23"/>
  <c r="L25" i="23"/>
  <c r="J25" i="23"/>
  <c r="N22" i="23"/>
  <c r="L22" i="23"/>
  <c r="J22" i="23"/>
  <c r="N21" i="23"/>
  <c r="L21" i="23"/>
  <c r="J21" i="23"/>
  <c r="N16" i="23"/>
  <c r="J16" i="23"/>
  <c r="N18" i="23" l="1"/>
  <c r="H16" i="23"/>
  <c r="L18" i="23"/>
  <c r="J18" i="23"/>
  <c r="H15" i="23"/>
  <c r="H14" i="23"/>
  <c r="H17" i="23"/>
  <c r="H12" i="23"/>
  <c r="H18" i="23" l="1"/>
  <c r="J27" i="23"/>
  <c r="J29" i="23" s="1"/>
  <c r="L27" i="23" l="1"/>
  <c r="L29" i="23" s="1"/>
  <c r="N27" i="23"/>
  <c r="N29" i="23" s="1"/>
  <c r="H23" i="23" l="1"/>
  <c r="H27" i="23" s="1"/>
  <c r="H29" i="23" s="1"/>
</calcChain>
</file>

<file path=xl/sharedStrings.xml><?xml version="1.0" encoding="utf-8"?>
<sst xmlns="http://schemas.openxmlformats.org/spreadsheetml/2006/main" count="154" uniqueCount="75">
  <si>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</si>
  <si>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</si>
  <si>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</si>
  <si>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</si>
  <si>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</si>
  <si>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</si>
  <si>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</si>
  <si>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</si>
  <si>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</si>
  <si>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</si>
  <si>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</si>
  <si>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</si>
  <si>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</si>
  <si>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</si>
  <si>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</si>
  <si>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</si>
  <si>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</si>
  <si>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</si>
  <si>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</si>
  <si>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</si>
  <si>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No 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</si>
  <si>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</si>
  <si>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</si>
  <si>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</si>
  <si>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</si>
  <si>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</si>
  <si>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</si>
  <si>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</si>
  <si>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</si>
  <si>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</si>
  <si>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</si>
  <si>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</si>
  <si>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</si>
  <si>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</si>
  <si>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</si>
  <si>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</si>
  <si>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</si>
  <si>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</si>
  <si>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</si>
  <si>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</si>
  <si>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</si>
  <si>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</si>
  <si>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</si>
  <si>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</si>
  <si>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</si>
  <si>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 xml:space="preserve">Will you use DU's Health &amp; Counseling Services? </t>
  </si>
  <si>
    <t>Will you enroll in DU's Health Insurance Plan?</t>
  </si>
  <si>
    <t>When will/did you start this program?</t>
  </si>
  <si>
    <t>2020 Fall Quarter or Later</t>
  </si>
  <si>
    <t>Prior to 2020 Fall Quarter</t>
  </si>
  <si>
    <t>Technology fees are $4 per credit. If you will be enrolled in less than 4 credits, you will not be eligible for federal student loans.</t>
  </si>
  <si>
    <t>Are you a music student?</t>
  </si>
  <si>
    <t>Music Fee:</t>
  </si>
  <si>
    <t>Choose Your Program:</t>
  </si>
  <si>
    <t>Music certificate programs</t>
  </si>
  <si>
    <r>
      <rPr>
        <b/>
        <i/>
        <sz val="11"/>
        <color rgb="FF000000"/>
        <rFont val="Calibri"/>
        <family val="2"/>
        <scheme val="minor"/>
      </rPr>
      <t xml:space="preserve">Note: </t>
    </r>
    <r>
      <rPr>
        <i/>
        <sz val="11"/>
        <color rgb="FF000000"/>
        <rFont val="Calibri"/>
        <family val="2"/>
        <scheme val="minor"/>
      </rPr>
      <t xml:space="preserve">If you are in a music certificate program, please use the worksheet on the next tab. </t>
    </r>
  </si>
  <si>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</si>
  <si>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</si>
  <si>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t xml:space="preserve">This worksheet automatically deducts the 1.057% origination fee from the Direct Unsubsidized loan amount. </t>
    </r>
    <r>
      <rPr>
        <b/>
        <sz val="11"/>
        <color theme="1"/>
        <rFont val="Calibri"/>
        <family val="2"/>
        <scheme val="minor"/>
      </rPr>
      <t>Please Note:</t>
    </r>
    <r>
      <rPr>
        <sz val="11"/>
        <color theme="1"/>
        <rFont val="Calibri"/>
        <family val="2"/>
        <scheme val="minor"/>
      </rPr>
      <t xml:space="preserve"> This is a federal student loan, and is </t>
    </r>
    <r>
      <rPr>
        <i/>
        <sz val="11"/>
        <color theme="1"/>
        <rFont val="Calibri"/>
        <family val="2"/>
        <scheme val="minor"/>
      </rPr>
      <t>only</t>
    </r>
    <r>
      <rPr>
        <sz val="11"/>
        <color theme="1"/>
        <rFont val="Calibri"/>
        <family val="2"/>
        <scheme val="minor"/>
      </rPr>
      <t xml:space="preserve"> available to students in the Artist Diploma program.</t>
    </r>
  </si>
  <si>
    <r>
      <t xml:space="preserve">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 </t>
    </r>
    <r>
      <rPr>
        <b/>
        <sz val="11"/>
        <color theme="1"/>
        <rFont val="Calibri"/>
        <family val="2"/>
        <scheme val="minor"/>
      </rPr>
      <t xml:space="preserve">Please Note: </t>
    </r>
    <r>
      <rPr>
        <sz val="11"/>
        <color theme="1"/>
        <rFont val="Calibri"/>
        <family val="2"/>
        <scheme val="minor"/>
      </rPr>
      <t xml:space="preserve">This is a federal student loan, and is </t>
    </r>
    <r>
      <rPr>
        <i/>
        <sz val="11"/>
        <color theme="1"/>
        <rFont val="Calibri"/>
        <family val="2"/>
        <scheme val="minor"/>
      </rPr>
      <t>only</t>
    </r>
    <r>
      <rPr>
        <sz val="11"/>
        <color theme="1"/>
        <rFont val="Calibri"/>
        <family val="2"/>
        <scheme val="minor"/>
      </rPr>
      <t xml:space="preserve"> available to students in the Artist Diploma program.</t>
    </r>
  </si>
  <si>
    <t>On or After 202070 Start Music Cert</t>
  </si>
  <si>
    <t>WINTER 2023:</t>
  </si>
  <si>
    <r>
      <t xml:space="preserve">2023-24 Estimated Billing Worksheets
</t>
    </r>
    <r>
      <rPr>
        <b/>
        <i/>
        <sz val="16"/>
        <color theme="1"/>
        <rFont val="Calibri"/>
        <family val="2"/>
        <scheme val="minor"/>
      </rPr>
      <t>College of Arts, Humanities &amp; Social Sciences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</si>
  <si>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2023-24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</si>
  <si>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WINTER 2024:</t>
  </si>
  <si>
    <t>SPRING 2024:</t>
  </si>
  <si>
    <t>WINTER 2024</t>
  </si>
  <si>
    <t>SPRING 2024</t>
  </si>
  <si>
    <t>FALL 2023:</t>
  </si>
  <si>
    <t>FALL 2023</t>
  </si>
  <si>
    <t>2023-24 Estimated Billing Worksheet
Most College of Arts, Humanities &amp; Social Sciences Programs</t>
  </si>
  <si>
    <t>2023-24 Estimated Billing Worksheet
Music Certificate Programs</t>
  </si>
  <si>
    <t>Tuition for the 2023-2024 academic year is $806 per credit.</t>
  </si>
  <si>
    <t>Tuition for the 2023-2024 academic year is $1,612 per credit.</t>
  </si>
  <si>
    <t>Tuition for the 2023-2024 academic year is $1,612 per credit. If enrolled in 12-18 credits, tuition will be charged a flat rate of $19,344.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</si>
</sst>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0">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Alignment="1">
      <alignment horizontal="left" indent="2"/>
    </xf>
    <xf numFmtId="0" fontId="0" fillId="0" borderId="0" xfId="0" applyAlignment="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0" fontId="15" fillId="0" borderId="0" xfId="0" applyFont="1" applyBorder="1" applyAlignment="1">
      <alignment horizontal="left" vertical="top" indent="1"/>
    </xf>
    <xf numFmtId="0" fontId="0" fillId="3" borderId="0" xfId="0" applyFill="1" applyAlignment="1">
      <alignment horizontal="left" indent="1"/>
    </xf>
    <xf numFmtId="0" fontId="0" fillId="0" borderId="0" xfId="0" applyFill="1" applyBorder="1"/>
    <xf numFmtId="44" fontId="0" fillId="0" borderId="0" xfId="1" applyFont="1" applyFill="1" applyBorder="1"/>
    <xf numFmtId="44" fontId="0" fillId="2" borderId="12" xfId="1" applyFont="1" applyFill="1" applyBorder="1" applyProtection="1">
      <protection locked="0"/>
    </xf>
    <xf numFmtId="0" fontId="13" fillId="0" borderId="0" xfId="2" applyAlignment="1" applyProtection="1">
      <alignment horizontal="left" indent="5"/>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3" fillId="0" borderId="3" xfId="0" applyFont="1" applyBorder="1" applyAlignment="1">
      <alignment horizontal="right" vertical="top" wrapText="1"/>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0" borderId="0" xfId="2" applyFill="1" applyBorder="1" applyAlignment="1">
      <alignment horizontal="left"/>
    </xf>
    <xf numFmtId="0" fontId="13" fillId="0" borderId="8" xfId="2" applyFill="1" applyBorder="1" applyAlignment="1">
      <alignment horizontal="left"/>
    </xf>
    <xf numFmtId="0" fontId="13" fillId="3" borderId="3" xfId="2" applyFill="1" applyBorder="1" applyAlignment="1">
      <alignment horizontal="left"/>
    </xf>
    <xf numFmtId="0" fontId="13" fillId="3" borderId="9"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11" fillId="0" borderId="0" xfId="0" applyFont="1" applyBorder="1" applyAlignment="1">
      <alignment horizontal="left" vertical="center" wrapText="1" indent="1"/>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475629</xdr:colOff>
      <xdr:row>1</xdr:row>
      <xdr:rowOff>523875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799604" cy="416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516744</xdr:colOff>
      <xdr:row>1</xdr:row>
      <xdr:rowOff>533399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840719" cy="4264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0"/>
    </row>
    <row r="2" spans="1:4" ht="47.25" customHeight="1" x14ac:dyDescent="0.35">
      <c r="B2" s="59" t="s">
        <v>62</v>
      </c>
      <c r="C2" s="60"/>
      <c r="D2" s="60"/>
    </row>
    <row r="3" spans="1:4" ht="8.25" customHeight="1" x14ac:dyDescent="0.25">
      <c r="B3" s="19"/>
      <c r="C3" s="21"/>
      <c r="D3" s="21"/>
    </row>
    <row r="4" spans="1:4" ht="66.75" customHeight="1" x14ac:dyDescent="0.25">
      <c r="B4" s="61" t="s">
        <v>63</v>
      </c>
      <c r="C4" s="61"/>
      <c r="D4" s="61"/>
    </row>
    <row r="5" spans="1:4" ht="21.75" customHeight="1" x14ac:dyDescent="0.25">
      <c r="C5"/>
    </row>
    <row r="6" spans="1:4" ht="27" customHeight="1" x14ac:dyDescent="0.25">
      <c r="B6" s="38" t="s">
        <v>53</v>
      </c>
      <c r="C6"/>
    </row>
    <row r="7" spans="1:4" x14ac:dyDescent="0.25">
      <c r="B7" s="39" t="s">
        <v>54</v>
      </c>
      <c r="C7" s="37"/>
      <c r="D7" s="37"/>
    </row>
    <row r="8" spans="1:4" x14ac:dyDescent="0.25">
      <c r="B8" s="39" t="s">
        <v>42</v>
      </c>
    </row>
    <row r="9" spans="1:4" x14ac:dyDescent="0.25">
      <c r="B9" s="57"/>
    </row>
    <row r="10" spans="1:4" x14ac:dyDescent="0.25">
      <c r="B10" s="57"/>
    </row>
    <row r="11" spans="1:4" x14ac:dyDescent="0.25">
      <c r="B11" s="57"/>
    </row>
    <row r="12" spans="1:4" x14ac:dyDescent="0.25">
      <c r="B12" s="41"/>
    </row>
    <row r="13" spans="1:4" x14ac:dyDescent="0.25">
      <c r="B13" s="41"/>
    </row>
    <row r="14" spans="1:4" x14ac:dyDescent="0.25">
      <c r="B14" s="41"/>
    </row>
    <row r="15" spans="1:4" x14ac:dyDescent="0.25">
      <c r="B15" s="58" t="s">
        <v>13</v>
      </c>
      <c r="C15" s="58"/>
      <c r="D15" s="58"/>
    </row>
  </sheetData>
  <sheetProtection algorithmName="SHA-512" hashValue="2ahD/49cK8PJ+Htc6zwryyZID4qhv6RD5+oauycr6bRUPOp/kWvES0OeT3gO654AXswF2xIoNagDy3wUd9y23A==" saltValue="xex5rtTvSJg8KVXApwdjSw==" spinCount="100000" sheet="1" selectLockedCells="1"/>
  <mergeCells count="3">
    <mergeCell ref="B15:D15"/>
    <mergeCell ref="B2:D2"/>
    <mergeCell ref="B4:D4"/>
  </mergeCells>
  <hyperlinks>
    <hyperlink ref="B7" location="'Music Cert'!A1" display="Music certificate programs" xr:uid="{00000000-0004-0000-0000-000000000000}"/>
    <hyperlink ref="B8" location="'Most Programs'!A1" display="All other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0"/>
  <sheetViews>
    <sheetView showGridLines="0" showRowColHeaders="0" showRuler="0" zoomScaleNormal="100" workbookViewId="0">
      <selection activeCell="F19" sqref="F19"/>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62" t="s">
        <v>70</v>
      </c>
      <c r="G2" s="62"/>
      <c r="H2" s="62"/>
      <c r="I2" s="62"/>
      <c r="J2" s="62"/>
      <c r="K2" s="62"/>
      <c r="L2" s="62"/>
      <c r="M2" s="62"/>
      <c r="N2" s="62"/>
      <c r="O2" s="62"/>
    </row>
    <row r="3" spans="2:15" ht="8.25" customHeight="1" x14ac:dyDescent="0.25">
      <c r="B3" s="19"/>
      <c r="C3" s="19"/>
      <c r="D3" s="19"/>
      <c r="E3" s="19"/>
      <c r="F3" s="19"/>
      <c r="G3" s="19"/>
      <c r="H3" s="20"/>
      <c r="I3" s="21"/>
      <c r="J3" s="21"/>
      <c r="K3" s="21"/>
      <c r="L3" s="21"/>
      <c r="M3" s="21"/>
      <c r="N3" s="21"/>
      <c r="O3" s="21"/>
    </row>
    <row r="4" spans="2:15" ht="27.75" customHeight="1" x14ac:dyDescent="0.25">
      <c r="B4" s="46"/>
      <c r="C4" s="52" t="s">
        <v>55</v>
      </c>
      <c r="D4" s="46"/>
      <c r="E4" s="46"/>
      <c r="F4" s="46"/>
      <c r="G4" s="46"/>
      <c r="H4" s="46"/>
      <c r="I4" s="46"/>
      <c r="J4" s="46"/>
      <c r="K4" s="46"/>
      <c r="L4" s="46"/>
      <c r="M4" s="46"/>
      <c r="N4" s="46"/>
      <c r="O4" s="46"/>
    </row>
    <row r="5" spans="2:15" ht="13.5" customHeight="1" x14ac:dyDescent="0.25">
      <c r="B5" s="46"/>
      <c r="C5" s="52"/>
      <c r="D5" s="46"/>
      <c r="E5" s="46"/>
      <c r="F5" s="46"/>
      <c r="G5" s="46"/>
      <c r="H5" s="46"/>
      <c r="I5" s="46"/>
      <c r="J5" s="46"/>
      <c r="K5" s="46"/>
      <c r="L5" s="46"/>
      <c r="M5" s="46"/>
      <c r="N5" s="46"/>
      <c r="O5" s="46"/>
    </row>
    <row r="6" spans="2:15" ht="19.5" customHeight="1" x14ac:dyDescent="0.3">
      <c r="D6" s="6" t="s">
        <v>47</v>
      </c>
      <c r="G6" s="63"/>
      <c r="H6" s="64"/>
      <c r="J6" s="44"/>
      <c r="L6" s="44"/>
      <c r="N6" s="44"/>
    </row>
    <row r="7" spans="2:15" ht="19.5" customHeight="1" x14ac:dyDescent="0.25">
      <c r="J7" s="44"/>
      <c r="L7" s="44"/>
      <c r="N7" s="44"/>
    </row>
    <row r="8" spans="2:15" ht="19.5" customHeight="1" x14ac:dyDescent="0.25">
      <c r="J8" s="44" t="s">
        <v>68</v>
      </c>
      <c r="L8" s="44" t="s">
        <v>64</v>
      </c>
      <c r="N8" s="44" t="s">
        <v>65</v>
      </c>
    </row>
    <row r="9" spans="2:15" ht="18" customHeight="1" x14ac:dyDescent="0.3">
      <c r="D9" s="6" t="s">
        <v>14</v>
      </c>
      <c r="E9" s="28"/>
      <c r="F9" s="28"/>
      <c r="G9" s="28"/>
      <c r="H9" s="28"/>
      <c r="I9" s="28"/>
      <c r="J9" s="43"/>
      <c r="L9" s="43"/>
      <c r="M9" s="22"/>
      <c r="N9" s="43"/>
      <c r="O9" s="28"/>
    </row>
    <row r="10" spans="2:15" ht="6" customHeight="1" x14ac:dyDescent="0.25"/>
    <row r="11" spans="2:15" ht="15.75" thickBot="1" x14ac:dyDescent="0.3">
      <c r="B11" s="1" t="s">
        <v>7</v>
      </c>
      <c r="C11" s="1"/>
      <c r="D11" s="2"/>
      <c r="E11" s="2"/>
      <c r="F11" s="2"/>
      <c r="G11" s="2"/>
      <c r="H11" s="4" t="s">
        <v>3</v>
      </c>
      <c r="I11" s="3"/>
      <c r="J11" s="4" t="s">
        <v>69</v>
      </c>
      <c r="K11" s="3"/>
      <c r="L11" s="4" t="s">
        <v>66</v>
      </c>
      <c r="M11" s="4"/>
      <c r="N11" s="4" t="s">
        <v>67</v>
      </c>
      <c r="O11" s="2"/>
    </row>
    <row r="12" spans="2:15" ht="9" customHeight="1" x14ac:dyDescent="0.25"/>
    <row r="13" spans="2:15" ht="21.75" customHeight="1" x14ac:dyDescent="0.25">
      <c r="B13" s="9" t="s">
        <v>1</v>
      </c>
      <c r="C13" s="9"/>
      <c r="D13" s="65"/>
      <c r="E13" s="65"/>
      <c r="F13" s="10"/>
      <c r="G13" s="10"/>
      <c r="H13" s="11" t="e">
        <f>J13+L13+N13</f>
        <v>#N/A</v>
      </c>
      <c r="I13" s="10"/>
      <c r="J13" s="11" t="e">
        <f>IF(G6="2020 Fall Quarter or Later",(VLOOKUP(J9,Data!F2:G21,2,FALSE)),(VLOOKUP(J9,Data!A2:B21,2,FALSE)))</f>
        <v>#N/A</v>
      </c>
      <c r="K13" s="10"/>
      <c r="L13" s="11" t="e">
        <f>IF(G6="2020 Fall Quarter or Later",(VLOOKUP(L9,Data!F2:G21,2,FALSE)),(VLOOKUP(L9,Data!A2:B21,2,FALSE)))</f>
        <v>#N/A</v>
      </c>
      <c r="M13" s="11"/>
      <c r="N13" s="11" t="e">
        <f>IF(G6="2020 Fall Quarter or Later",(VLOOKUP(N9,Data!F2:G21,2,FALSE)),(VLOOKUP(N9,Data!A2:B21,2,FALSE)))</f>
        <v>#N/A</v>
      </c>
      <c r="O13" s="10"/>
    </row>
    <row r="14" spans="2:15" ht="21.75" customHeight="1" x14ac:dyDescent="0.25">
      <c r="B14" s="47" t="s">
        <v>0</v>
      </c>
      <c r="C14" s="47"/>
    </row>
    <row r="15" spans="2:15" ht="21.75" customHeight="1" x14ac:dyDescent="0.25">
      <c r="B15" s="12" t="s">
        <v>2</v>
      </c>
      <c r="C15" s="12"/>
      <c r="D15" s="10"/>
      <c r="E15" s="10"/>
      <c r="F15" s="10"/>
      <c r="G15" s="10"/>
      <c r="H15" s="11" t="e">
        <f>J15+L15+N15</f>
        <v>#N/A</v>
      </c>
      <c r="I15" s="10"/>
      <c r="J15" s="11" t="e">
        <f>IF(G6="2020 Fall Quarter or Later",(VLOOKUP(J9,Data!F2:H21,3,FALSE)),(VLOOKUP(J9,Data!A2:C21,3,FALSE)))</f>
        <v>#N/A</v>
      </c>
      <c r="K15" s="10"/>
      <c r="L15" s="11" t="e">
        <f>IF(G6="2020 Fall Quarter or Later",(VLOOKUP(L9,Data!F2:H21,3,FALSE)),(VLOOKUP(L9,Data!A2:C21,3,FALSE)))</f>
        <v>#N/A</v>
      </c>
      <c r="M15" s="11"/>
      <c r="N15" s="11" t="e">
        <f>IF(G6="2020 Fall Quarter or Later",(VLOOKUP(N9,Data!I2:K21,3,FALSE)),(VLOOKUP(N9,Data!A2:C21,3,FALSE)))</f>
        <v>#N/A</v>
      </c>
      <c r="O15" s="10"/>
    </row>
    <row r="16" spans="2:15" ht="21.75" customHeight="1" x14ac:dyDescent="0.25">
      <c r="B16" s="36" t="s">
        <v>16</v>
      </c>
      <c r="C16" s="36"/>
      <c r="H16" s="5" t="e">
        <f>J16+L16+N16</f>
        <v>#N/A</v>
      </c>
      <c r="J16" s="5" t="e">
        <f>IF(J9&lt;&gt;"not enrolled",(VLOOKUP(J9,Data!A2:D21,4,FALSE)),0)</f>
        <v>#N/A</v>
      </c>
      <c r="L16" s="5" t="e">
        <f>IF(L9&lt;&gt;"not enrolled",(VLOOKUP(L9,Data!A2:D21,4,FALSE)),0)</f>
        <v>#N/A</v>
      </c>
      <c r="N16" s="5" t="e">
        <f>IF(N9&lt;&gt;"not enrolled",(VLOOKUP(N9,Data!A2:D21,4,FALSE)),0)</f>
        <v>#N/A</v>
      </c>
    </row>
    <row r="17" spans="2:15" ht="21.75" customHeight="1" x14ac:dyDescent="0.25">
      <c r="B17" s="12" t="s">
        <v>51</v>
      </c>
      <c r="C17" s="53"/>
      <c r="D17" s="10"/>
      <c r="E17" s="10"/>
      <c r="F17" s="31"/>
      <c r="G17" s="10"/>
      <c r="H17" s="11" t="e">
        <f>J17+L17+N17</f>
        <v>#N/A</v>
      </c>
      <c r="I17" s="10"/>
      <c r="J17" s="11" t="e">
        <f>VLOOKUP(F17,Data!M2:N3,2,FALSE)</f>
        <v>#N/A</v>
      </c>
      <c r="K17" s="10"/>
      <c r="L17" s="11" t="e">
        <f>IF((L9&lt;&gt;"not enrolled"),VLOOKUP(F17,Data!M2:N3,2,FALSE),0)</f>
        <v>#N/A</v>
      </c>
      <c r="M17" s="11"/>
      <c r="N17" s="11" t="e">
        <f>VLOOKUP(F17,Data!M2:N3,2,FALSE)</f>
        <v>#N/A</v>
      </c>
      <c r="O17" s="10"/>
    </row>
    <row r="18" spans="2:15" ht="21.75" customHeight="1" x14ac:dyDescent="0.25">
      <c r="B18" s="66" t="s">
        <v>46</v>
      </c>
      <c r="C18" s="66"/>
      <c r="D18" s="66"/>
      <c r="E18" s="67"/>
      <c r="F18" s="31"/>
      <c r="G18" s="54"/>
      <c r="H18" s="55">
        <f>J18+L18+N18</f>
        <v>0</v>
      </c>
      <c r="I18" s="54"/>
      <c r="J18" s="55">
        <f>IF(AND(F18="Yes", J9&lt;&gt;"not enrolled"), (VLOOKUP(F18, Data!A24:C25, 2, FALSE)), 0)</f>
        <v>0</v>
      </c>
      <c r="K18" s="54"/>
      <c r="L18" s="55">
        <v>0</v>
      </c>
      <c r="M18" s="55"/>
      <c r="N18" s="55">
        <f>IF(AND(F18="Yes", N9&lt;&gt;"not enrolled"), (VLOOKUP(F18, Data!A24:C25, 2, FALSE)), 0)</f>
        <v>0</v>
      </c>
      <c r="O18" s="54"/>
    </row>
    <row r="19" spans="2:15" s="25" customFormat="1" ht="21.75" customHeight="1" x14ac:dyDescent="0.25">
      <c r="B19" s="68" t="s">
        <v>45</v>
      </c>
      <c r="C19" s="68"/>
      <c r="D19" s="68"/>
      <c r="E19" s="69"/>
      <c r="F19" s="45"/>
      <c r="G19" s="26"/>
      <c r="H19" s="27">
        <f>J19+L19+N19</f>
        <v>0</v>
      </c>
      <c r="I19" s="26"/>
      <c r="J19" s="27">
        <f>IF(AND(F19="Yes", J9&lt;&gt;"not enrolled",J9&lt;&gt;"4 credits",J9&lt;&gt;"5 credits"), (VLOOKUP(F19, Data!A24:C25, 3, FALSE)), 0)</f>
        <v>0</v>
      </c>
      <c r="K19" s="26"/>
      <c r="L19" s="27">
        <f>IF(AND(F19="Yes", L9&lt;&gt;"not enrolled",L9&lt;&gt;"4 credits",L9&lt;&gt;"5 credits"), (VLOOKUP(F19, Data!A24:C25, 3, FALSE)), 0)</f>
        <v>0</v>
      </c>
      <c r="M19" s="27"/>
      <c r="N19" s="27">
        <f>IF(AND(F19="Yes", N9&lt;&gt;"not enrolled",N9&lt;&gt;"4 credits",N9&lt;&gt;"5 credits"), (VLOOKUP(F19, Data!A24:C25, 3, FALSE)), 0)</f>
        <v>0</v>
      </c>
      <c r="O19" s="26"/>
    </row>
    <row r="20" spans="2:15" ht="21.75" customHeight="1" x14ac:dyDescent="0.25">
      <c r="D20" s="7" t="s">
        <v>6</v>
      </c>
      <c r="H20" s="8" t="e">
        <f>SUM(H13, H15:H19)</f>
        <v>#N/A</v>
      </c>
      <c r="J20" s="8" t="e">
        <f>SUM(J13,J15:J19)</f>
        <v>#N/A</v>
      </c>
      <c r="L20" s="8" t="e">
        <f>SUM(L13,L15:L19)</f>
        <v>#N/A</v>
      </c>
      <c r="M20" s="8"/>
      <c r="N20" s="8" t="e">
        <f>SUM(N13,N15:N19)</f>
        <v>#N/A</v>
      </c>
    </row>
    <row r="21" spans="2:15" ht="24" customHeight="1" x14ac:dyDescent="0.25"/>
    <row r="22" spans="2:15" ht="15.75" thickBot="1" x14ac:dyDescent="0.3">
      <c r="B22" s="1" t="s">
        <v>10</v>
      </c>
      <c r="C22" s="1"/>
      <c r="D22" s="2"/>
      <c r="E22" s="2"/>
      <c r="F22" s="2"/>
      <c r="G22" s="2"/>
      <c r="H22" s="4" t="s">
        <v>3</v>
      </c>
      <c r="I22" s="3"/>
      <c r="J22" s="4" t="s">
        <v>69</v>
      </c>
      <c r="K22" s="3"/>
      <c r="L22" s="4" t="s">
        <v>66</v>
      </c>
      <c r="M22" s="4"/>
      <c r="N22" s="4" t="s">
        <v>67</v>
      </c>
      <c r="O22" s="2"/>
    </row>
    <row r="23" spans="2:15" ht="21.75" customHeight="1" x14ac:dyDescent="0.25">
      <c r="B23" t="s">
        <v>15</v>
      </c>
      <c r="H23" s="15"/>
      <c r="J23" s="5">
        <f>IF((AND(J9&lt;&gt;"not enrolled", L9&lt;&gt;"not enrolled", N9&lt;&gt;"not enrolled")), (H23/3), IF((AND(J9&lt;&gt;"not enrolled", L9&lt;&gt;"not enrolled", N9="not enrolled")), (H23/2), IF((AND(J9&lt;&gt;"not enrolled", L9="not enrolled", N9="not enrolled")), (H23/1), 0)))</f>
        <v>0</v>
      </c>
      <c r="L23" s="5">
        <f>IF((AND(J9&lt;&gt;"not enrolled", L9&lt;&gt;"not enrolled", N9&lt;&gt;"not enrolled")), (H23/3), IF((AND(J9&lt;&gt;"not enrolled", L9&lt;&gt;"not enrolled", N9="not enrolled")), (H23/2), IF((AND(J9="not enrolled", L9&lt;&gt;"not enrolled", N9&lt;&gt;"not enrolled")), (H23/2), 0)))</f>
        <v>0</v>
      </c>
      <c r="N23" s="5">
        <f>IF((AND(J9&lt;&gt;"not enrolled", L9&lt;&gt;"not enrolled", N9&lt;&gt;"not enrolled")), (H23/3), IF((AND(J9="not enrolled", L9&lt;&gt;"not enrolled", N9&lt;&gt;"not enrolled")), (H23/2), IF((AND(J9="not enrolled", L9="not enrolled", N9&lt;&gt;"not enrolled")), (H23), 0)))</f>
        <v>0</v>
      </c>
    </row>
    <row r="24" spans="2:15" ht="21.75" customHeight="1" x14ac:dyDescent="0.25">
      <c r="B24" s="10" t="s">
        <v>8</v>
      </c>
      <c r="C24" s="10"/>
      <c r="D24" s="10"/>
      <c r="E24" s="10"/>
      <c r="F24" s="10"/>
      <c r="G24" s="10"/>
      <c r="H24" s="16"/>
      <c r="I24" s="10"/>
      <c r="J24" s="11">
        <f>IF((AND(J9&lt;&gt;"not enrolled", L9&lt;&gt;"not enrolled", N9&lt;&gt;"not enrolled")), (H24/3), IF((AND(J9&lt;&gt;"not enrolled", L9&lt;&gt;"not enrolled", N9="not enrolled")), (H24/2), IF((AND(J9&lt;&gt;"not enrolled", L9="not enrolled", N9="not enrolled")), (H24/1), 0)))</f>
        <v>0</v>
      </c>
      <c r="K24" s="10"/>
      <c r="L24" s="11">
        <f>IF((AND(J9&lt;&gt;"not enrolled", L9&lt;&gt;"not enrolled", N9&lt;&gt;"not enrolled")), (H24/3), IF((AND(J9&lt;&gt;"not enrolled", L9&lt;&gt;"not enrolled", N9="not enrolled")), (H24/2), IF((AND(J9="not enrolled", L9&lt;&gt;"not enrolled", N9&lt;&gt;"not enrolled")), (H24/2), 0)))</f>
        <v>0</v>
      </c>
      <c r="M24" s="11"/>
      <c r="N24" s="11">
        <f>IF((AND(J9&lt;&gt;"not enrolled", L9&lt;&gt;"not enrolled", N9&lt;&gt;"not enrolled")), (H24/3), IF((AND(J9="not enrolled", L9&lt;&gt;"not enrolled", N9&lt;&gt;"not enrolled")), (H24/2), IF((AND(J9="not enrolled", L9="not enrolled", N9&lt;&gt;"not enrolled")), (H24), 0)))</f>
        <v>0</v>
      </c>
      <c r="O24" s="10"/>
    </row>
    <row r="25" spans="2:15" ht="21.75" customHeight="1" x14ac:dyDescent="0.25">
      <c r="B25" t="s">
        <v>17</v>
      </c>
      <c r="F25" s="17"/>
      <c r="H25" s="5">
        <f>SUM(J25,L25,N25)</f>
        <v>0</v>
      </c>
      <c r="J25" s="5">
        <f>IF((AND(J9&lt;&gt;"not enrolled", L9&lt;&gt;"not enrolled", N9&lt;&gt;"not enrolled")), ROUND(((F25-(F25*0.01057))/3),0), IF((AND(J9&lt;&gt;"not enrolled", L9&lt;&gt;"not enrolled", N9="not enrolled")), ROUND(((F25-(F25*0.01057))/2),0), IF((AND(J9&lt;&gt;"not enrolled", L9="not enrolled", N9="not enrolled")), ROUND(((F25-(F25*0.01057))/1),0), 0)))</f>
        <v>0</v>
      </c>
      <c r="L25" s="5">
        <f>IF((AND(J9&lt;&gt;"not enrolled", L9&lt;&gt;"not enrolled", N9&lt;&gt;"not enrolled")), ROUND(((F25-(F25*0.01057))/3),0), IF((AND(J9&lt;&gt;"not enrolled", L9&lt;&gt;"not enrolled", N9="not enrolled")), ROUND(((F25-(F25*0.01057))/2),0), IF((AND(J9="not enrolled", L9&lt;&gt;"not enrolled", N9&lt;&gt;"not enrolled")), ROUND(((F25-(F25*0.01057))/2),0), 0)))</f>
        <v>0</v>
      </c>
      <c r="N25" s="5">
        <f>IF((AND(J9&lt;&gt;"not enrolled", L9&lt;&gt;"not enrolled", N9&lt;&gt;"not enrolled")), ROUND(((F25-(F25*0.01057))/3),0), IF((AND(J9="not enrolled", L9&lt;&gt;"not enrolled", N9&lt;&gt;"not enrolled")), ROUND(((F25-(F25*0.01057))/2),0), IF((AND(J9="not enrolled", L9="not enrolled", N9&lt;&gt;"not enrolled")), ROUND(((F25-(F25*0.01057))/1),0), 0)))</f>
        <v>0</v>
      </c>
    </row>
    <row r="26" spans="2:15" ht="21.75" customHeight="1" x14ac:dyDescent="0.25">
      <c r="B26" s="10" t="s">
        <v>18</v>
      </c>
      <c r="C26" s="10"/>
      <c r="D26" s="10"/>
      <c r="E26" s="10"/>
      <c r="F26" s="17"/>
      <c r="G26" s="10"/>
      <c r="H26" s="11">
        <f>SUM(J26,L26,N26)</f>
        <v>0</v>
      </c>
      <c r="I26" s="10"/>
      <c r="J26" s="11">
        <f>IF((AND(J9&lt;&gt;"not enrolled", L9&lt;&gt;"not enrolled", N9&lt;&gt;"not enrolled")), ROUND(((F26-(F26*0.04228))/3),0), IF((AND(J9&lt;&gt;"not enrolled", L9&lt;&gt;"not enrolled", N9="not enrolled")), ROUND(((F26-(F26*0.04228))/2),0), IF((AND(J9&lt;&gt;"not enrolled", L9="not enrolled", N9="not enrolled")), ROUND(((F26-(F26*0.04228))/1),0), 0)))</f>
        <v>0</v>
      </c>
      <c r="K26" s="10"/>
      <c r="L26" s="11">
        <f>IF((AND(J9&lt;&gt;"not enrolled", L9&lt;&gt;"not enrolled", N9&lt;&gt;"not enrolled")), ROUND(((F26-(F26*0.04228))/3),0), IF((AND(J9&lt;&gt;"not enrolled", L9&lt;&gt;"not enrolled", N9="not enrolled")), ROUND(((F26-(F26*0.04228))/2),0), IF((AND(J9="not enrolled", L9&lt;&gt;"not enrolled", N9&lt;&gt;"not enrolled")), ROUND(((F26-(F26*0.04228))/2),0), 0)))</f>
        <v>0</v>
      </c>
      <c r="M26" s="11"/>
      <c r="N26" s="11">
        <f>IF((AND(J9&lt;&gt;"not enrolled", L9&lt;&gt;"not enrolled", N9&lt;&gt;"not enrolled")), ROUND(((F26-(F26*0.04228))/3),0), IF((AND(J9="not enrolled", L9&lt;&gt;"not enrolled", N9&lt;&gt;"not enrolled")), ROUND(((F26-(F26*0.04228))/2),0), IF((AND(J9="not enrolled", L9="not enrolled", N9&lt;&gt;"not enrolled")), ROUND(((F26-(F26*0.04228))/1),0), 0)))</f>
        <v>0</v>
      </c>
      <c r="O26" s="10"/>
    </row>
    <row r="27" spans="2:15" ht="21.75" customHeight="1" x14ac:dyDescent="0.25">
      <c r="B27" s="70" t="s">
        <v>22</v>
      </c>
      <c r="C27" s="70"/>
      <c r="D27" s="70"/>
      <c r="E27" s="70"/>
      <c r="F27" s="70"/>
      <c r="H27" s="16"/>
      <c r="J27" s="5">
        <f>IF((AND(J9&lt;&gt;"not enrolled", L9&lt;&gt;"not enrolled", N9&lt;&gt;"not enrolled")), (H27/3), IF((AND(J9&lt;&gt;"not enrolled", L9&lt;&gt;"not enrolled", N9="not enrolled")), (H27/2), IF((AND(J9&lt;&gt;"not enrolled", L9="not enrolled", N9="not enrolled")), (H27/1), 0)))</f>
        <v>0</v>
      </c>
      <c r="L27" s="5">
        <f>IF((AND(J9&lt;&gt;"not enrolled", L9&lt;&gt;"not enrolled", N9&lt;&gt;"not enrolled")), (H27/3), IF((AND(J9&lt;&gt;"not enrolled", L9&lt;&gt;"not enrolled", N9="not enrolled")), (H27/2), IF((AND(J9="not enrolled", L9&lt;&gt;"not enrolled", N9&lt;&gt;"not enrolled")), (H27/2), 0)))</f>
        <v>0</v>
      </c>
      <c r="N27" s="5">
        <f>IF((AND(J9&lt;&gt;"not enrolled", L9&lt;&gt;"not enrolled", N9&lt;&gt;"not enrolled")), (H27/3), IF((AND(J9="not enrolled", L9&lt;&gt;"not enrolled", N9&lt;&gt;"not enrolled")), (H27/2), IF((AND(J9="not enrolled", L9="not enrolled", N9&lt;&gt;"not enrolled")), (H27), 0)))</f>
        <v>0</v>
      </c>
    </row>
    <row r="28" spans="2:15" ht="21.75" customHeight="1" x14ac:dyDescent="0.25">
      <c r="B28" s="71" t="s">
        <v>23</v>
      </c>
      <c r="C28" s="71"/>
      <c r="D28" s="71"/>
      <c r="E28" s="71"/>
      <c r="F28" s="71"/>
      <c r="G28" s="71"/>
      <c r="H28" s="27">
        <f>J28+L28+N28</f>
        <v>0</v>
      </c>
      <c r="I28" s="26"/>
      <c r="J28" s="18"/>
      <c r="K28" s="26"/>
      <c r="L28" s="18"/>
      <c r="M28" s="34"/>
      <c r="N28" s="56"/>
      <c r="O28" s="26"/>
    </row>
    <row r="29" spans="2:15" ht="21.75" customHeight="1" x14ac:dyDescent="0.25">
      <c r="D29" s="7" t="s">
        <v>9</v>
      </c>
      <c r="H29" s="5">
        <f>SUM(H23:H28)</f>
        <v>0</v>
      </c>
      <c r="J29" s="5">
        <f>SUM(J23:J28)</f>
        <v>0</v>
      </c>
      <c r="L29" s="5">
        <f>SUM(L23:L27,L28)</f>
        <v>0</v>
      </c>
      <c r="N29" s="5">
        <f>SUM(N23:N27,N28)</f>
        <v>0</v>
      </c>
    </row>
    <row r="30" spans="2:15" ht="15.75" thickBot="1" x14ac:dyDescent="0.3"/>
    <row r="31" spans="2:15" ht="21.75" customHeight="1" thickTop="1" thickBot="1" x14ac:dyDescent="0.35">
      <c r="B31" s="14" t="s">
        <v>11</v>
      </c>
      <c r="C31" s="14"/>
      <c r="D31" s="13"/>
      <c r="E31" s="13"/>
      <c r="F31" s="13"/>
      <c r="G31" s="13"/>
      <c r="H31" s="23" t="e">
        <f>H20-H29</f>
        <v>#N/A</v>
      </c>
      <c r="I31" s="24"/>
      <c r="J31" s="23" t="e">
        <f>J20-J29</f>
        <v>#N/A</v>
      </c>
      <c r="K31" s="24"/>
      <c r="L31" s="23" t="e">
        <f>L20-L29</f>
        <v>#N/A</v>
      </c>
      <c r="M31" s="23"/>
      <c r="N31" s="23" t="e">
        <f>N20-N29</f>
        <v>#N/A</v>
      </c>
      <c r="O31" s="13"/>
    </row>
    <row r="32" spans="2:15" ht="15.75" thickTop="1" x14ac:dyDescent="0.25"/>
    <row r="33" spans="2:15" x14ac:dyDescent="0.25">
      <c r="B33" s="7" t="s">
        <v>12</v>
      </c>
      <c r="C33" s="7"/>
    </row>
    <row r="34" spans="2:15" ht="21.75" customHeight="1" x14ac:dyDescent="0.25">
      <c r="B34" s="49">
        <v>1</v>
      </c>
      <c r="C34" s="37" t="str">
        <f>IF(G6="2020 Fall Quarter or Later",Data!I26,Data!I27)</f>
        <v>Tuition for the 2023-2024 academic year is $1,612 per credit. If enrolled in 12-18 credits, tuition will be charged a flat rate of $19,344.</v>
      </c>
      <c r="D34" s="48"/>
      <c r="E34" s="48"/>
      <c r="F34" s="48"/>
      <c r="G34" s="48"/>
      <c r="H34" s="48"/>
      <c r="I34" s="48"/>
      <c r="J34" s="48"/>
      <c r="K34" s="48"/>
      <c r="L34" s="48"/>
      <c r="M34" s="48"/>
      <c r="N34" s="48"/>
      <c r="O34" s="48"/>
    </row>
    <row r="35" spans="2:15" ht="18" customHeight="1" x14ac:dyDescent="0.25">
      <c r="B35" s="51">
        <v>2</v>
      </c>
      <c r="C35" s="37" t="s">
        <v>50</v>
      </c>
      <c r="D35" s="37"/>
      <c r="E35" s="37"/>
      <c r="F35" s="37"/>
      <c r="G35" s="37"/>
      <c r="H35" s="37"/>
      <c r="I35" s="37"/>
      <c r="J35" s="37"/>
      <c r="K35" s="37"/>
      <c r="L35" s="37"/>
      <c r="M35" s="37"/>
      <c r="N35" s="37"/>
      <c r="O35" s="37"/>
    </row>
    <row r="36" spans="2:15" ht="18" customHeight="1" x14ac:dyDescent="0.25">
      <c r="B36" s="51">
        <v>3</v>
      </c>
      <c r="C36" t="s">
        <v>56</v>
      </c>
    </row>
    <row r="37" spans="2:15" ht="46.5" customHeight="1" x14ac:dyDescent="0.25">
      <c r="B37" s="50">
        <v>4</v>
      </c>
      <c r="C37" s="72" t="s">
        <v>57</v>
      </c>
      <c r="D37" s="72"/>
      <c r="E37" s="72"/>
      <c r="F37" s="72"/>
      <c r="G37" s="72"/>
      <c r="H37" s="72"/>
      <c r="I37" s="72"/>
      <c r="J37" s="72"/>
      <c r="K37" s="72"/>
      <c r="L37" s="72"/>
      <c r="M37" s="72"/>
      <c r="N37" s="72"/>
      <c r="O37" s="72"/>
    </row>
    <row r="38" spans="2:15" ht="21.75" customHeight="1" x14ac:dyDescent="0.25"/>
    <row r="40" spans="2:15" x14ac:dyDescent="0.25">
      <c r="B40" s="58" t="s">
        <v>13</v>
      </c>
      <c r="C40" s="58"/>
      <c r="D40" s="58"/>
      <c r="E40" s="58"/>
      <c r="F40" s="58"/>
      <c r="G40" s="58"/>
      <c r="H40" s="58"/>
      <c r="I40" s="58"/>
      <c r="J40" s="58"/>
      <c r="K40" s="58"/>
      <c r="L40" s="58"/>
      <c r="M40" s="58"/>
      <c r="N40" s="58"/>
      <c r="O40" s="58"/>
    </row>
  </sheetData>
  <sheetProtection algorithmName="SHA-512" hashValue="P6aEx/wL+TbhtFGEQoN2TcWs6OpqFdw1FcUxGsOFlvfBwR8BIVy100NjDlOl7E09QEKI9Y8aRFesJFlAVkidiA==" saltValue="kpX0xahWJ9AIbRctMYPfTw==" spinCount="100000" sheet="1" selectLockedCells="1"/>
  <mergeCells count="9">
    <mergeCell ref="F2:O2"/>
    <mergeCell ref="G6:H6"/>
    <mergeCell ref="D13:E13"/>
    <mergeCell ref="B40:O40"/>
    <mergeCell ref="B18:E18"/>
    <mergeCell ref="B19:E19"/>
    <mergeCell ref="B27:F27"/>
    <mergeCell ref="B28:G28"/>
    <mergeCell ref="C37:O37"/>
  </mergeCells>
  <hyperlinks>
    <hyperlink ref="B18" r:id="rId1" display="Will you enroll in DU's health insurance plan?" xr:uid="{00000000-0004-0000-0100-000000000000}"/>
    <hyperlink ref="B19"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Data!$A$24:$A$25</xm:f>
          </x14:formula1>
          <xm:sqref>F17:F19</xm:sqref>
        </x14:dataValidation>
        <x14:dataValidation type="list" allowBlank="1" showInputMessage="1" showErrorMessage="1" xr:uid="{00000000-0002-0000-0100-000001000000}">
          <x14:formula1>
            <xm:f>Data!$A$27:$A$28</xm:f>
          </x14:formula1>
          <xm:sqref>G6:H6</xm:sqref>
        </x14:dataValidation>
        <x14:dataValidation type="list" allowBlank="1" showInputMessage="1" showErrorMessage="1" xr:uid="{00000000-0002-0000-0100-000002000000}">
          <x14:formula1>
            <xm:f>Data!$I$2:$I$21</xm:f>
          </x14:formula1>
          <xm:sqref>N9 L9 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3" t="s">
        <v>71</v>
      </c>
      <c r="I2" s="74"/>
      <c r="J2" s="74"/>
      <c r="K2" s="74"/>
      <c r="L2" s="74"/>
      <c r="M2" s="74"/>
      <c r="N2" s="74"/>
      <c r="O2" s="74"/>
    </row>
    <row r="3" spans="2:15" ht="8.25" customHeight="1" x14ac:dyDescent="0.25">
      <c r="B3" s="19"/>
      <c r="C3" s="19"/>
      <c r="D3" s="19"/>
      <c r="E3" s="19"/>
      <c r="F3" s="19"/>
      <c r="G3" s="19"/>
      <c r="H3" s="20"/>
      <c r="I3" s="21"/>
      <c r="J3" s="21"/>
      <c r="K3" s="21"/>
      <c r="L3" s="21"/>
      <c r="M3" s="21"/>
      <c r="N3" s="21"/>
      <c r="O3" s="21"/>
    </row>
    <row r="4" spans="2:15" ht="6.75" customHeight="1" x14ac:dyDescent="0.25">
      <c r="B4" s="75"/>
      <c r="C4" s="75"/>
      <c r="D4" s="75"/>
      <c r="E4" s="75"/>
      <c r="F4" s="75"/>
      <c r="G4" s="75"/>
      <c r="H4" s="75"/>
      <c r="I4" s="75"/>
      <c r="J4" s="75"/>
      <c r="K4" s="75"/>
      <c r="L4" s="75"/>
      <c r="M4" s="75"/>
      <c r="N4" s="75"/>
      <c r="O4" s="75"/>
    </row>
    <row r="5" spans="2:15" ht="19.5" customHeight="1" x14ac:dyDescent="0.3">
      <c r="D5" s="6" t="s">
        <v>47</v>
      </c>
      <c r="G5" s="63"/>
      <c r="H5" s="64"/>
      <c r="J5" s="44"/>
      <c r="L5" s="44"/>
      <c r="N5" s="44"/>
    </row>
    <row r="6" spans="2:15" ht="19.5" customHeight="1" x14ac:dyDescent="0.25">
      <c r="J6" s="44"/>
      <c r="L6" s="44"/>
      <c r="N6" s="44"/>
    </row>
    <row r="7" spans="2:15" ht="19.5" customHeight="1" x14ac:dyDescent="0.25">
      <c r="J7" s="44" t="s">
        <v>68</v>
      </c>
      <c r="L7" s="44" t="s">
        <v>61</v>
      </c>
      <c r="N7" s="44" t="s">
        <v>65</v>
      </c>
    </row>
    <row r="8" spans="2:15" ht="18" customHeight="1" x14ac:dyDescent="0.3">
      <c r="D8" s="6" t="s">
        <v>14</v>
      </c>
      <c r="E8" s="28"/>
      <c r="F8" s="28"/>
      <c r="G8" s="28"/>
      <c r="H8" s="28"/>
      <c r="I8" s="28"/>
      <c r="J8" s="43"/>
      <c r="L8" s="43"/>
      <c r="M8" s="22"/>
      <c r="N8" s="43"/>
      <c r="O8" s="28"/>
    </row>
    <row r="9" spans="2:15" ht="6" customHeight="1" x14ac:dyDescent="0.25"/>
    <row r="10" spans="2:15" ht="15.75" thickBot="1" x14ac:dyDescent="0.3">
      <c r="B10" s="1" t="s">
        <v>7</v>
      </c>
      <c r="C10" s="1"/>
      <c r="D10" s="2"/>
      <c r="E10" s="2"/>
      <c r="F10" s="2"/>
      <c r="G10" s="2"/>
      <c r="H10" s="4" t="s">
        <v>3</v>
      </c>
      <c r="I10" s="3"/>
      <c r="J10" s="4" t="s">
        <v>69</v>
      </c>
      <c r="K10" s="3"/>
      <c r="L10" s="4" t="s">
        <v>66</v>
      </c>
      <c r="M10" s="4"/>
      <c r="N10" s="4" t="s">
        <v>67</v>
      </c>
      <c r="O10" s="2"/>
    </row>
    <row r="11" spans="2:15" ht="9" customHeight="1" x14ac:dyDescent="0.25"/>
    <row r="12" spans="2:15" ht="21.75" customHeight="1" x14ac:dyDescent="0.25">
      <c r="B12" s="9" t="s">
        <v>1</v>
      </c>
      <c r="C12" s="9"/>
      <c r="D12" s="65"/>
      <c r="E12" s="65"/>
      <c r="F12" s="10"/>
      <c r="G12" s="10"/>
      <c r="H12" s="11" t="e">
        <f>J12+L12+N12</f>
        <v>#N/A</v>
      </c>
      <c r="I12" s="10"/>
      <c r="J12" s="11" t="e">
        <f>IF(G5="2020 Fall Quarter or Later",(VLOOKUP(J8,Data!I2:J21,2,FALSE)),(VLOOKUP(J8,Data!A2:B21,2,FALSE)))</f>
        <v>#N/A</v>
      </c>
      <c r="K12" s="10"/>
      <c r="L12" s="11" t="e">
        <f>IF(G5="2020 Fall Quarter or Later",(VLOOKUP(L8,Data!I2:J21,2,FALSE)),(VLOOKUP(L8,Data!A2:B21,2,FALSE)))</f>
        <v>#N/A</v>
      </c>
      <c r="M12" s="11"/>
      <c r="N12" s="11" t="e">
        <f>IF(G5="2020 Fall Quarter or Later",(VLOOKUP(N8,Data!I2:J21,2,FALSE)),(VLOOKUP(N8,Data!A2:B21,2,FALSE)))</f>
        <v>#N/A</v>
      </c>
      <c r="O12" s="10"/>
    </row>
    <row r="13" spans="2:15" ht="21.75" customHeight="1" x14ac:dyDescent="0.25">
      <c r="B13" s="42" t="s">
        <v>0</v>
      </c>
      <c r="C13" s="47"/>
    </row>
    <row r="14" spans="2:15" ht="21.75" customHeight="1" x14ac:dyDescent="0.25">
      <c r="B14" s="12" t="s">
        <v>2</v>
      </c>
      <c r="C14" s="12"/>
      <c r="D14" s="10"/>
      <c r="E14" s="10"/>
      <c r="F14" s="10"/>
      <c r="G14" s="10"/>
      <c r="H14" s="11" t="e">
        <f>J14+L14+N14</f>
        <v>#N/A</v>
      </c>
      <c r="I14" s="10"/>
      <c r="J14" s="11" t="e">
        <f>IF(G5="2020 Fall Quarter or Later",(VLOOKUP(J8,Data!I2:K21,3,FALSE)),(VLOOKUP(J8,Data!A2:C21,3,FALSE)))</f>
        <v>#N/A</v>
      </c>
      <c r="K14" s="10"/>
      <c r="L14" s="11" t="e">
        <f>IF(G5="2020 Fall Quarter or Later",(VLOOKUP(L8,Data!I2:K21,3,FALSE)),(VLOOKUP(L8,Data!A2:C21,3,FALSE)))</f>
        <v>#N/A</v>
      </c>
      <c r="M14" s="11"/>
      <c r="N14" s="11" t="e">
        <f>IF(G5="2020 Fall Quarter or Later",(VLOOKUP(N8,Data!I2:K21,3,FALSE)),(VLOOKUP(N8,Data!A2:C21,3,FALSE)))</f>
        <v>#N/A</v>
      </c>
      <c r="O14" s="10"/>
    </row>
    <row r="15" spans="2:15" ht="21.75" customHeight="1" x14ac:dyDescent="0.25">
      <c r="B15" s="36" t="s">
        <v>16</v>
      </c>
      <c r="C15" s="36"/>
      <c r="H15" s="5" t="e">
        <f>J15+L15+N15</f>
        <v>#N/A</v>
      </c>
      <c r="J15" s="5" t="e">
        <f>VLOOKUP(J8, Data!A2:E21, 5, FALSE)</f>
        <v>#N/A</v>
      </c>
      <c r="L15" s="5" t="e">
        <f>VLOOKUP(L8, Data!A2:E21, 5, FALSE)</f>
        <v>#N/A</v>
      </c>
      <c r="N15" s="5" t="e">
        <f>VLOOKUP(N8, Data!A2:E21, 5, FALSE)</f>
        <v>#N/A</v>
      </c>
    </row>
    <row r="16" spans="2:15" ht="21.75" customHeight="1" x14ac:dyDescent="0.25">
      <c r="B16" s="76" t="s">
        <v>46</v>
      </c>
      <c r="C16" s="76"/>
      <c r="D16" s="76"/>
      <c r="E16" s="77"/>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78" t="s">
        <v>45</v>
      </c>
      <c r="C17" s="78"/>
      <c r="D17" s="78"/>
      <c r="E17" s="79"/>
      <c r="F17" s="45"/>
      <c r="G17" s="32"/>
      <c r="H17" s="33">
        <f>J17+L17+N17</f>
        <v>0</v>
      </c>
      <c r="I17" s="32"/>
      <c r="J17" s="33">
        <f>IF(AND(F17="Yes", J8&lt;&gt;"not enrolled",J8&lt;&gt;"4 credits",J8&lt;&gt;"5 credits"), (VLOOKUP(F17, 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10</v>
      </c>
      <c r="C20" s="1"/>
      <c r="D20" s="2"/>
      <c r="E20" s="2"/>
      <c r="F20" s="2"/>
      <c r="G20" s="2"/>
      <c r="H20" s="4" t="s">
        <v>3</v>
      </c>
      <c r="I20" s="3"/>
      <c r="J20" s="4" t="s">
        <v>69</v>
      </c>
      <c r="K20" s="3"/>
      <c r="L20" s="4" t="s">
        <v>66</v>
      </c>
      <c r="M20" s="4"/>
      <c r="N20" s="4" t="s">
        <v>67</v>
      </c>
      <c r="O20" s="2"/>
    </row>
    <row r="21" spans="2:15" ht="21.75" customHeight="1" x14ac:dyDescent="0.25">
      <c r="B21" t="s">
        <v>15</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17</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18</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70" t="s">
        <v>22</v>
      </c>
      <c r="C25" s="70"/>
      <c r="D25" s="70"/>
      <c r="E25" s="70"/>
      <c r="F25" s="70"/>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71" t="s">
        <v>23</v>
      </c>
      <c r="C26" s="71"/>
      <c r="D26" s="71"/>
      <c r="E26" s="71"/>
      <c r="F26" s="71"/>
      <c r="G26" s="71"/>
      <c r="H26" s="27">
        <f>J26+L26+N26</f>
        <v>0</v>
      </c>
      <c r="I26" s="26"/>
      <c r="J26" s="18"/>
      <c r="K26" s="26"/>
      <c r="L26" s="18"/>
      <c r="M26" s="34"/>
      <c r="N26" s="56"/>
      <c r="O26" s="26"/>
    </row>
    <row r="27" spans="2:15" ht="21.75" customHeight="1" x14ac:dyDescent="0.25">
      <c r="D27" s="7" t="s">
        <v>9</v>
      </c>
      <c r="H27" s="5">
        <f>SUM(H21:H26)</f>
        <v>0</v>
      </c>
      <c r="J27" s="5">
        <f>SUM(J21:J26)</f>
        <v>0</v>
      </c>
      <c r="L27" s="5">
        <f>SUM(L21:L25,L26)</f>
        <v>0</v>
      </c>
      <c r="N27" s="5">
        <f>SUM(N21:N25,N26)</f>
        <v>0</v>
      </c>
    </row>
    <row r="28" spans="2:15" ht="15.75" thickBot="1" x14ac:dyDescent="0.3"/>
    <row r="29" spans="2:15" ht="21.75" customHeight="1" thickTop="1" thickBot="1" x14ac:dyDescent="0.35">
      <c r="B29" s="14" t="s">
        <v>11</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12</v>
      </c>
      <c r="C31" s="7"/>
    </row>
    <row r="32" spans="2:15" ht="21.75" customHeight="1" x14ac:dyDescent="0.25">
      <c r="B32" s="49">
        <v>1</v>
      </c>
      <c r="C32" s="37" t="str">
        <f>IF(G5="2020 Fall Quarter or Later",Data!I25,Data!I27)</f>
        <v>Tuition for the 2023-2024 academic year is $1,612 per credit. If enrolled in 12-18 credits, tuition will be charged a flat rate of $19,344.</v>
      </c>
      <c r="D32" s="48"/>
      <c r="E32" s="48"/>
      <c r="F32" s="48"/>
      <c r="G32" s="48"/>
      <c r="H32" s="48"/>
      <c r="I32" s="48"/>
      <c r="J32" s="48"/>
      <c r="K32" s="48"/>
      <c r="L32" s="48"/>
      <c r="M32" s="48"/>
      <c r="N32" s="48"/>
      <c r="O32" s="48"/>
    </row>
    <row r="33" spans="2:15" ht="18" customHeight="1" x14ac:dyDescent="0.25">
      <c r="B33" s="51">
        <v>2</v>
      </c>
      <c r="C33" s="37" t="s">
        <v>50</v>
      </c>
      <c r="D33" s="37"/>
      <c r="E33" s="37"/>
      <c r="F33" s="37"/>
      <c r="G33" s="37"/>
      <c r="H33" s="37"/>
      <c r="I33" s="37"/>
      <c r="J33" s="37"/>
      <c r="K33" s="37"/>
      <c r="L33" s="37"/>
      <c r="M33" s="37"/>
      <c r="N33" s="37"/>
      <c r="O33" s="37"/>
    </row>
    <row r="34" spans="2:15" ht="31.5" customHeight="1" x14ac:dyDescent="0.25">
      <c r="B34" s="50">
        <v>3</v>
      </c>
      <c r="C34" s="72" t="s">
        <v>58</v>
      </c>
      <c r="D34" s="72"/>
      <c r="E34" s="72"/>
      <c r="F34" s="72"/>
      <c r="G34" s="72"/>
      <c r="H34" s="72"/>
      <c r="I34" s="72"/>
      <c r="J34" s="72"/>
      <c r="K34" s="72"/>
      <c r="L34" s="72"/>
      <c r="M34" s="72"/>
      <c r="N34" s="72"/>
      <c r="O34" s="72"/>
    </row>
    <row r="35" spans="2:15" ht="61.5" customHeight="1" x14ac:dyDescent="0.25">
      <c r="B35" s="50">
        <v>4</v>
      </c>
      <c r="C35" s="72" t="s">
        <v>59</v>
      </c>
      <c r="D35" s="72"/>
      <c r="E35" s="72"/>
      <c r="F35" s="72"/>
      <c r="G35" s="72"/>
      <c r="H35" s="72"/>
      <c r="I35" s="72"/>
      <c r="J35" s="72"/>
      <c r="K35" s="72"/>
      <c r="L35" s="72"/>
      <c r="M35" s="72"/>
      <c r="N35" s="72"/>
      <c r="O35" s="72"/>
    </row>
    <row r="36" spans="2:15" ht="21.75" customHeight="1" x14ac:dyDescent="0.25"/>
    <row r="38" spans="2:15" x14ac:dyDescent="0.25">
      <c r="B38" s="58" t="s">
        <v>13</v>
      </c>
      <c r="C38" s="58"/>
      <c r="D38" s="58"/>
      <c r="E38" s="58"/>
      <c r="F38" s="58"/>
      <c r="G38" s="58"/>
      <c r="H38" s="58"/>
      <c r="I38" s="58"/>
      <c r="J38" s="58"/>
      <c r="K38" s="58"/>
      <c r="L38" s="58"/>
      <c r="M38" s="58"/>
      <c r="N38" s="58"/>
      <c r="O38" s="58"/>
    </row>
  </sheetData>
  <sheetProtection algorithmName="SHA-512" hashValue="LwxSPjU4zotWTNRpT/XQaDIuUeiyfR3aWqLvZDO2ArYBr6/3BrgWAtsHqDBNbs/L6+IpcB4xvV46i9bzZCVrag==" saltValue="jObX+kcNoGSRJNz/4AQuQw==" spinCount="100000" sheet="1" objects="1" scenarios="1" selectLockedCells="1"/>
  <mergeCells count="11">
    <mergeCell ref="B38:O38"/>
    <mergeCell ref="H2:O2"/>
    <mergeCell ref="B4:O4"/>
    <mergeCell ref="D12:E12"/>
    <mergeCell ref="B25:F25"/>
    <mergeCell ref="B26:G26"/>
    <mergeCell ref="B16:E16"/>
    <mergeCell ref="B17:E17"/>
    <mergeCell ref="G5:H5"/>
    <mergeCell ref="C35:O35"/>
    <mergeCell ref="C34:O34"/>
  </mergeCells>
  <hyperlinks>
    <hyperlink ref="B16" r:id="rId1" display="Will you enroll in DU's health insurance plan?" xr:uid="{00000000-0004-0000-0200-000000000000}"/>
    <hyperlink ref="B17"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Data!$I$2:$I$21</xm:f>
          </x14:formula1>
          <xm:sqref>N8 L8 J8</xm:sqref>
        </x14:dataValidation>
        <x14:dataValidation type="list" allowBlank="1" showInputMessage="1" showErrorMessage="1" xr:uid="{00000000-0002-0000-0200-000001000000}">
          <x14:formula1>
            <xm:f>Data!$A$24:$A$25</xm:f>
          </x14:formula1>
          <xm:sqref>F16:F17</xm:sqref>
        </x14:dataValidation>
        <x14:dataValidation type="list" allowBlank="1" showInputMessage="1" showErrorMessage="1" xr:uid="{00000000-0002-0000-0200-000002000000}">
          <x14:formula1>
            <xm:f>Data!$A$27:$A$28</xm:f>
          </x14:formula1>
          <xm:sqref>G5:H5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8"/>
  <sheetViews>
    <sheetView workbookViewId="0">
      <selection activeCell="D12" sqref="D12"/>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17.28515625" customWidth="1"/>
  </cols>
  <sheetData>
    <row r="1" spans="1:14" x14ac:dyDescent="0.25">
      <c r="A1" s="7" t="s">
        <v>19</v>
      </c>
      <c r="F1" s="7" t="s">
        <v>20</v>
      </c>
      <c r="I1" s="7" t="s">
        <v>60</v>
      </c>
      <c r="M1" s="7" t="s">
        <v>52</v>
      </c>
    </row>
    <row r="2" spans="1:14" x14ac:dyDescent="0.25">
      <c r="A2" s="35" t="s">
        <v>41</v>
      </c>
      <c r="B2">
        <v>0</v>
      </c>
      <c r="C2">
        <v>0</v>
      </c>
      <c r="D2">
        <v>0</v>
      </c>
      <c r="E2">
        <v>0</v>
      </c>
      <c r="F2" s="35" t="s">
        <v>41</v>
      </c>
      <c r="G2">
        <v>0</v>
      </c>
      <c r="H2">
        <v>0</v>
      </c>
      <c r="I2" s="35" t="s">
        <v>41</v>
      </c>
      <c r="J2">
        <v>0</v>
      </c>
      <c r="K2">
        <v>0</v>
      </c>
      <c r="M2" t="s">
        <v>4</v>
      </c>
      <c r="N2">
        <v>95</v>
      </c>
    </row>
    <row r="3" spans="1:14" x14ac:dyDescent="0.25">
      <c r="A3" t="s">
        <v>24</v>
      </c>
      <c r="B3">
        <v>6448</v>
      </c>
      <c r="C3">
        <v>16</v>
      </c>
      <c r="D3">
        <v>53</v>
      </c>
      <c r="E3">
        <v>148</v>
      </c>
      <c r="F3" t="s">
        <v>24</v>
      </c>
      <c r="G3">
        <v>6448</v>
      </c>
      <c r="H3">
        <v>16</v>
      </c>
      <c r="I3" t="s">
        <v>24</v>
      </c>
      <c r="J3">
        <v>3224</v>
      </c>
      <c r="K3">
        <v>16</v>
      </c>
      <c r="M3" t="s">
        <v>5</v>
      </c>
      <c r="N3">
        <v>0</v>
      </c>
    </row>
    <row r="4" spans="1:14" x14ac:dyDescent="0.25">
      <c r="A4" t="s">
        <v>25</v>
      </c>
      <c r="B4">
        <v>8060</v>
      </c>
      <c r="C4">
        <v>20</v>
      </c>
      <c r="D4">
        <v>53</v>
      </c>
      <c r="E4">
        <v>148</v>
      </c>
      <c r="F4" t="s">
        <v>25</v>
      </c>
      <c r="G4">
        <v>8060</v>
      </c>
      <c r="H4">
        <v>20</v>
      </c>
      <c r="I4" t="s">
        <v>25</v>
      </c>
      <c r="J4">
        <v>4030</v>
      </c>
      <c r="K4">
        <v>20</v>
      </c>
    </row>
    <row r="5" spans="1:14" x14ac:dyDescent="0.25">
      <c r="A5" t="s">
        <v>26</v>
      </c>
      <c r="B5">
        <v>9672</v>
      </c>
      <c r="C5">
        <v>24</v>
      </c>
      <c r="D5">
        <v>53</v>
      </c>
      <c r="E5">
        <v>148</v>
      </c>
      <c r="F5" t="s">
        <v>26</v>
      </c>
      <c r="G5">
        <v>9672</v>
      </c>
      <c r="H5">
        <v>24</v>
      </c>
      <c r="I5" t="s">
        <v>26</v>
      </c>
      <c r="J5">
        <v>4836</v>
      </c>
      <c r="K5">
        <v>24</v>
      </c>
    </row>
    <row r="6" spans="1:14" x14ac:dyDescent="0.25">
      <c r="A6" t="s">
        <v>27</v>
      </c>
      <c r="B6">
        <v>11284</v>
      </c>
      <c r="C6">
        <v>28</v>
      </c>
      <c r="D6">
        <v>53</v>
      </c>
      <c r="E6">
        <v>148</v>
      </c>
      <c r="F6" t="s">
        <v>27</v>
      </c>
      <c r="G6">
        <v>11284</v>
      </c>
      <c r="H6">
        <v>28</v>
      </c>
      <c r="I6" t="s">
        <v>27</v>
      </c>
      <c r="J6">
        <v>5642</v>
      </c>
      <c r="K6">
        <v>28</v>
      </c>
    </row>
    <row r="7" spans="1:14" x14ac:dyDescent="0.25">
      <c r="A7" t="s">
        <v>28</v>
      </c>
      <c r="B7">
        <v>12896</v>
      </c>
      <c r="C7">
        <v>32</v>
      </c>
      <c r="D7">
        <v>53</v>
      </c>
      <c r="E7">
        <v>148</v>
      </c>
      <c r="F7" t="s">
        <v>28</v>
      </c>
      <c r="G7">
        <v>12896</v>
      </c>
      <c r="H7">
        <v>32</v>
      </c>
      <c r="I7" t="s">
        <v>28</v>
      </c>
      <c r="J7">
        <v>6448</v>
      </c>
      <c r="K7">
        <v>32</v>
      </c>
    </row>
    <row r="8" spans="1:14" x14ac:dyDescent="0.25">
      <c r="A8" t="s">
        <v>29</v>
      </c>
      <c r="B8">
        <v>14508</v>
      </c>
      <c r="C8">
        <v>36</v>
      </c>
      <c r="D8">
        <v>53</v>
      </c>
      <c r="E8">
        <v>148</v>
      </c>
      <c r="F8" t="s">
        <v>29</v>
      </c>
      <c r="G8">
        <v>14508</v>
      </c>
      <c r="H8">
        <v>36</v>
      </c>
      <c r="I8" t="s">
        <v>29</v>
      </c>
      <c r="J8">
        <v>7254</v>
      </c>
      <c r="K8">
        <v>36</v>
      </c>
    </row>
    <row r="9" spans="1:14" x14ac:dyDescent="0.25">
      <c r="A9" t="s">
        <v>30</v>
      </c>
      <c r="B9">
        <v>16120</v>
      </c>
      <c r="C9">
        <v>40</v>
      </c>
      <c r="D9">
        <v>53</v>
      </c>
      <c r="E9">
        <v>148</v>
      </c>
      <c r="F9" t="s">
        <v>30</v>
      </c>
      <c r="G9">
        <v>16120</v>
      </c>
      <c r="H9">
        <v>40</v>
      </c>
      <c r="I9" t="s">
        <v>30</v>
      </c>
      <c r="J9">
        <v>8060</v>
      </c>
      <c r="K9">
        <v>40</v>
      </c>
    </row>
    <row r="10" spans="1:14" x14ac:dyDescent="0.25">
      <c r="A10" t="s">
        <v>31</v>
      </c>
      <c r="B10">
        <v>17732</v>
      </c>
      <c r="C10">
        <v>44</v>
      </c>
      <c r="D10">
        <v>53</v>
      </c>
      <c r="E10">
        <v>148</v>
      </c>
      <c r="F10" t="s">
        <v>31</v>
      </c>
      <c r="G10">
        <v>17732</v>
      </c>
      <c r="H10">
        <v>44</v>
      </c>
      <c r="I10" t="s">
        <v>31</v>
      </c>
      <c r="J10">
        <v>8866</v>
      </c>
      <c r="K10">
        <v>44</v>
      </c>
    </row>
    <row r="11" spans="1:14" x14ac:dyDescent="0.25">
      <c r="A11" t="s">
        <v>32</v>
      </c>
      <c r="B11">
        <v>19344</v>
      </c>
      <c r="C11">
        <v>48</v>
      </c>
      <c r="D11">
        <v>53</v>
      </c>
      <c r="E11">
        <v>148</v>
      </c>
      <c r="F11" t="s">
        <v>32</v>
      </c>
      <c r="G11">
        <v>19344</v>
      </c>
      <c r="H11">
        <v>48</v>
      </c>
      <c r="I11" t="s">
        <v>32</v>
      </c>
      <c r="J11">
        <v>9672</v>
      </c>
      <c r="K11">
        <v>48</v>
      </c>
    </row>
    <row r="12" spans="1:14" x14ac:dyDescent="0.25">
      <c r="A12" t="s">
        <v>33</v>
      </c>
      <c r="B12">
        <v>19344</v>
      </c>
      <c r="C12">
        <v>48</v>
      </c>
      <c r="D12">
        <v>53</v>
      </c>
      <c r="E12">
        <v>148</v>
      </c>
      <c r="F12" t="s">
        <v>33</v>
      </c>
      <c r="G12">
        <v>20956</v>
      </c>
      <c r="H12">
        <v>52</v>
      </c>
      <c r="I12" t="s">
        <v>33</v>
      </c>
      <c r="J12">
        <v>10478</v>
      </c>
      <c r="K12">
        <v>52</v>
      </c>
    </row>
    <row r="13" spans="1:14" x14ac:dyDescent="0.25">
      <c r="A13" t="s">
        <v>34</v>
      </c>
      <c r="B13">
        <v>19344</v>
      </c>
      <c r="C13">
        <v>48</v>
      </c>
      <c r="D13">
        <v>53</v>
      </c>
      <c r="E13">
        <v>148</v>
      </c>
      <c r="F13" t="s">
        <v>34</v>
      </c>
      <c r="G13">
        <v>22568</v>
      </c>
      <c r="H13">
        <v>56</v>
      </c>
      <c r="I13" t="s">
        <v>34</v>
      </c>
      <c r="J13">
        <v>11284</v>
      </c>
      <c r="K13">
        <v>56</v>
      </c>
    </row>
    <row r="14" spans="1:14" x14ac:dyDescent="0.25">
      <c r="A14" t="s">
        <v>35</v>
      </c>
      <c r="B14">
        <v>19344</v>
      </c>
      <c r="C14">
        <v>48</v>
      </c>
      <c r="D14">
        <v>53</v>
      </c>
      <c r="E14">
        <v>148</v>
      </c>
      <c r="F14" t="s">
        <v>35</v>
      </c>
      <c r="G14">
        <v>24180</v>
      </c>
      <c r="H14">
        <v>60</v>
      </c>
      <c r="I14" t="s">
        <v>35</v>
      </c>
      <c r="J14">
        <v>12090</v>
      </c>
      <c r="K14">
        <v>60</v>
      </c>
    </row>
    <row r="15" spans="1:14" x14ac:dyDescent="0.25">
      <c r="A15" t="s">
        <v>36</v>
      </c>
      <c r="B15">
        <v>19344</v>
      </c>
      <c r="C15">
        <v>48</v>
      </c>
      <c r="D15">
        <v>53</v>
      </c>
      <c r="E15">
        <v>148</v>
      </c>
      <c r="F15" t="s">
        <v>36</v>
      </c>
      <c r="G15">
        <v>25792</v>
      </c>
      <c r="H15">
        <v>64</v>
      </c>
      <c r="I15" t="s">
        <v>36</v>
      </c>
      <c r="J15">
        <v>12896</v>
      </c>
      <c r="K15">
        <v>64</v>
      </c>
    </row>
    <row r="16" spans="1:14" x14ac:dyDescent="0.25">
      <c r="A16" t="s">
        <v>37</v>
      </c>
      <c r="B16">
        <v>19344</v>
      </c>
      <c r="C16">
        <v>48</v>
      </c>
      <c r="D16">
        <v>53</v>
      </c>
      <c r="E16">
        <v>148</v>
      </c>
      <c r="F16" t="s">
        <v>37</v>
      </c>
      <c r="G16">
        <v>27404</v>
      </c>
      <c r="H16">
        <v>68</v>
      </c>
      <c r="I16" t="s">
        <v>37</v>
      </c>
      <c r="J16">
        <v>13702</v>
      </c>
      <c r="K16">
        <v>68</v>
      </c>
    </row>
    <row r="17" spans="1:21" x14ac:dyDescent="0.25">
      <c r="A17" t="s">
        <v>38</v>
      </c>
      <c r="B17">
        <v>19344</v>
      </c>
      <c r="C17">
        <v>48</v>
      </c>
      <c r="D17">
        <v>53</v>
      </c>
      <c r="E17">
        <v>148</v>
      </c>
      <c r="F17" t="s">
        <v>38</v>
      </c>
      <c r="G17">
        <v>29016</v>
      </c>
      <c r="H17">
        <v>72</v>
      </c>
      <c r="I17" t="s">
        <v>38</v>
      </c>
      <c r="J17">
        <v>14508</v>
      </c>
      <c r="K17">
        <v>72</v>
      </c>
    </row>
    <row r="18" spans="1:21" x14ac:dyDescent="0.25">
      <c r="A18" t="s">
        <v>39</v>
      </c>
      <c r="B18">
        <v>20956</v>
      </c>
      <c r="C18">
        <v>52</v>
      </c>
      <c r="D18">
        <v>53</v>
      </c>
      <c r="E18">
        <v>148</v>
      </c>
      <c r="F18" t="s">
        <v>39</v>
      </c>
      <c r="G18">
        <v>30628</v>
      </c>
      <c r="H18">
        <v>76</v>
      </c>
      <c r="I18" t="s">
        <v>39</v>
      </c>
      <c r="J18">
        <v>15314</v>
      </c>
      <c r="K18">
        <v>76</v>
      </c>
    </row>
    <row r="19" spans="1:21" x14ac:dyDescent="0.25">
      <c r="A19" t="s">
        <v>40</v>
      </c>
      <c r="B19">
        <v>22568</v>
      </c>
      <c r="C19">
        <v>56</v>
      </c>
      <c r="D19">
        <v>53</v>
      </c>
      <c r="E19">
        <v>148</v>
      </c>
      <c r="F19" t="s">
        <v>40</v>
      </c>
      <c r="G19">
        <v>32240</v>
      </c>
      <c r="H19">
        <v>80</v>
      </c>
      <c r="I19" t="s">
        <v>40</v>
      </c>
      <c r="J19">
        <v>16120</v>
      </c>
      <c r="K19">
        <v>80</v>
      </c>
    </row>
    <row r="20" spans="1:21" x14ac:dyDescent="0.25">
      <c r="A20" t="s">
        <v>43</v>
      </c>
      <c r="B20">
        <v>24180</v>
      </c>
      <c r="C20">
        <v>60</v>
      </c>
      <c r="D20">
        <v>53</v>
      </c>
      <c r="E20">
        <v>148</v>
      </c>
      <c r="F20" t="s">
        <v>43</v>
      </c>
      <c r="G20">
        <v>33852</v>
      </c>
      <c r="H20">
        <v>84</v>
      </c>
      <c r="I20" t="s">
        <v>43</v>
      </c>
      <c r="J20">
        <v>16926</v>
      </c>
      <c r="K20">
        <v>84</v>
      </c>
    </row>
    <row r="21" spans="1:21" x14ac:dyDescent="0.25">
      <c r="A21" t="s">
        <v>44</v>
      </c>
      <c r="B21">
        <v>25792</v>
      </c>
      <c r="C21">
        <v>64</v>
      </c>
      <c r="D21">
        <v>53</v>
      </c>
      <c r="E21">
        <v>148</v>
      </c>
      <c r="F21" t="s">
        <v>44</v>
      </c>
      <c r="G21">
        <v>35464</v>
      </c>
      <c r="H21">
        <v>88</v>
      </c>
      <c r="I21" t="s">
        <v>44</v>
      </c>
      <c r="J21">
        <v>17732</v>
      </c>
      <c r="K21">
        <v>88</v>
      </c>
    </row>
    <row r="23" spans="1:21" x14ac:dyDescent="0.25">
      <c r="A23" t="s">
        <v>21</v>
      </c>
    </row>
    <row r="24" spans="1:21" x14ac:dyDescent="0.25">
      <c r="A24" t="s">
        <v>4</v>
      </c>
      <c r="B24">
        <v>1885</v>
      </c>
      <c r="C24">
        <v>233</v>
      </c>
    </row>
    <row r="25" spans="1:21" x14ac:dyDescent="0.25">
      <c r="A25" t="s">
        <v>5</v>
      </c>
      <c r="B25">
        <v>0</v>
      </c>
      <c r="C25">
        <v>0</v>
      </c>
      <c r="I25" s="72" t="s">
        <v>72</v>
      </c>
      <c r="J25" s="72"/>
      <c r="K25" s="72"/>
      <c r="L25" s="72"/>
      <c r="M25" s="72"/>
      <c r="N25" s="72"/>
      <c r="O25" s="72"/>
      <c r="P25" s="72"/>
      <c r="Q25" s="72"/>
      <c r="R25" s="72"/>
      <c r="S25" s="72"/>
      <c r="T25" s="72"/>
      <c r="U25" s="72"/>
    </row>
    <row r="26" spans="1:21" x14ac:dyDescent="0.25">
      <c r="I26" s="72" t="s">
        <v>73</v>
      </c>
      <c r="J26" s="72"/>
      <c r="K26" s="72"/>
      <c r="L26" s="72"/>
      <c r="M26" s="72"/>
      <c r="N26" s="72"/>
      <c r="O26" s="72"/>
      <c r="P26" s="72"/>
      <c r="Q26" s="72"/>
      <c r="R26" s="72"/>
      <c r="S26" s="72"/>
      <c r="T26" s="72"/>
      <c r="U26" s="72"/>
    </row>
    <row r="27" spans="1:21" x14ac:dyDescent="0.25">
      <c r="A27" t="s">
        <v>48</v>
      </c>
      <c r="I27" s="72" t="s">
        <v>74</v>
      </c>
      <c r="J27" s="72"/>
      <c r="K27" s="72"/>
      <c r="L27" s="72"/>
      <c r="M27" s="72"/>
      <c r="N27" s="72"/>
      <c r="O27" s="72"/>
      <c r="P27" s="72"/>
      <c r="Q27" s="72"/>
      <c r="R27" s="72"/>
      <c r="S27" s="72"/>
      <c r="T27" s="72"/>
      <c r="U27" s="72"/>
    </row>
    <row r="28" spans="1:21" x14ac:dyDescent="0.25">
      <c r="A28" t="s">
        <v>49</v>
      </c>
    </row>
  </sheetData>
  <sheetProtection algorithmName="SHA-512" hashValue="9NCiNPkSWtsglKC4sLHxnu/3iILnyof6pMq0vjENvqJ6fntANlwXZ/aOZiAS8YyOPiXWY9N9yzorCdft0n7U6Q==" saltValue="H4YnbOiHVMwSJXUjAU0zzQ==" spinCount="100000" sheet="1" selectLockedCells="1" selectUnlockedCells="1"/>
  <mergeCells count="3">
    <mergeCell ref="I25:U25"/>
    <mergeCell ref="I26:U26"/>
    <mergeCell ref="I27:U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Most Programs</vt:lpstr>
      <vt:lpstr>Music Cert</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2023-03-06T17:16:21Z</dcterms:modified>
</cp:coreProperties>
</file>