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fileSharing readOnlyRecommended="1"/>
  <workbookPr/>
  <mc:AlternateContent xmlns:mc="http://schemas.openxmlformats.org/markup-compatibility/2006">
    <mc:Choice Requires="x15">
      <x15ac:absPath xmlns:x15ac="http://schemas.microsoft.com/office/spreadsheetml/2010/11/ac" url="R:\Financial Aid\Communication\2324\Billing Worksheets\"/>
    </mc:Choice>
  </mc:AlternateContent>
  <xr:revisionPtr revIDLastSave="0" documentId="13_ncr:1_{BB941851-C775-4134-B2DE-2A7199AE155A}" xr6:coauthVersionLast="47" xr6:coauthVersionMax="47" xr10:uidLastSave="{00000000-0000-0000-0000-000000000000}"/>
  <workbookProtection workbookAlgorithmName="SHA-512" workbookHashValue="nLVHlYAKgTd/mpwaHonyv1qfSElin4TSpH63TLhRxeWUuKCVMO6yew17a+bvyKnxT9PjmW8bkDjy6kXoPN5eRw==" workbookSaltValue="OXRANKMVC44vOkLfJiwX3Q==" workbookSpinCount="100000" lockStructure="1"/>
  <bookViews>
    <workbookView xWindow="29385" yWindow="2205" windowWidth="21075" windowHeight="12450" tabRatio="721" xr2:uid="{00000000-000D-0000-FFFF-FFFF00000000}"/>
  </bookViews>
  <sheets>
    <sheet name="Worksheets Home" sheetId="4" r:id="rId1"/>
    <sheet name="BA" sheetId="30" r:id="rId2"/>
    <sheet name="Master's" sheetId="32" r:id="rId3"/>
    <sheet name="Denver MBA" sheetId="33" r:id="rId4"/>
    <sheet name="PMBA" sheetId="14" r:id="rId5"/>
    <sheet name="EMBA" sheetId="13" r:id="rId6"/>
    <sheet name="MBA@Denver" sheetId="15" r:id="rId7"/>
    <sheet name="Executive PhD" sheetId="18" r:id="rId8"/>
    <sheet name="Data1" sheetId="31" state="hidden" r:id="rId9"/>
  </sheets>
  <definedNames>
    <definedName name="Credits" localSheetId="3">#REF!</definedName>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18" l="1"/>
  <c r="K12" i="18"/>
  <c r="I12" i="18"/>
  <c r="N23" i="32"/>
  <c r="L23" i="32"/>
  <c r="J23" i="32"/>
  <c r="N25" i="32"/>
  <c r="L25" i="32"/>
  <c r="J25" i="32"/>
  <c r="N22" i="32"/>
  <c r="L22" i="32"/>
  <c r="J22" i="32"/>
  <c r="M23" i="33"/>
  <c r="K23" i="33"/>
  <c r="I23" i="33"/>
  <c r="M22" i="33"/>
  <c r="K22" i="33"/>
  <c r="I22" i="33"/>
  <c r="O23" i="14"/>
  <c r="M23" i="14"/>
  <c r="K23" i="14"/>
  <c r="I23" i="14"/>
  <c r="O22" i="14"/>
  <c r="M22" i="14"/>
  <c r="K22" i="14"/>
  <c r="I22" i="14"/>
  <c r="G22" i="13"/>
  <c r="O20" i="13"/>
  <c r="M20" i="13"/>
  <c r="K20" i="13"/>
  <c r="I20" i="13"/>
  <c r="I12" i="13"/>
  <c r="M15" i="18"/>
  <c r="K15" i="18"/>
  <c r="I15" i="18"/>
  <c r="O15" i="14"/>
  <c r="M15" i="14"/>
  <c r="K15" i="14"/>
  <c r="I15" i="14"/>
  <c r="M15" i="33"/>
  <c r="K15" i="33"/>
  <c r="I15" i="33"/>
  <c r="N18" i="32"/>
  <c r="L18" i="32"/>
  <c r="J18" i="32"/>
  <c r="G22" i="14" l="1"/>
  <c r="G22" i="33"/>
  <c r="M15" i="30"/>
  <c r="K15" i="30"/>
  <c r="I15" i="30"/>
  <c r="I14" i="30"/>
  <c r="M22" i="18"/>
  <c r="K22" i="18"/>
  <c r="I22" i="18"/>
  <c r="M21" i="18"/>
  <c r="K21" i="18"/>
  <c r="I21" i="18"/>
  <c r="O18" i="15"/>
  <c r="M18" i="15"/>
  <c r="K18" i="15"/>
  <c r="I18" i="15"/>
  <c r="O17" i="15"/>
  <c r="M17" i="15"/>
  <c r="K17" i="15"/>
  <c r="I17" i="15"/>
  <c r="O10" i="15"/>
  <c r="M10" i="15"/>
  <c r="K10" i="15"/>
  <c r="I10" i="15"/>
  <c r="O19" i="13"/>
  <c r="M19" i="13"/>
  <c r="K19" i="13"/>
  <c r="I19" i="13"/>
  <c r="O10" i="13"/>
  <c r="M10" i="13"/>
  <c r="K10" i="13"/>
  <c r="I10" i="13"/>
  <c r="O21" i="14"/>
  <c r="M21" i="14"/>
  <c r="K21" i="14"/>
  <c r="I21" i="14"/>
  <c r="M13" i="33"/>
  <c r="K13" i="33"/>
  <c r="I13" i="33"/>
  <c r="M12" i="33"/>
  <c r="K12" i="33"/>
  <c r="I12" i="33"/>
  <c r="M10" i="33"/>
  <c r="K10" i="33"/>
  <c r="K16" i="33" s="1"/>
  <c r="I10" i="33"/>
  <c r="G24" i="33"/>
  <c r="M21" i="33"/>
  <c r="K21" i="33"/>
  <c r="I21" i="33"/>
  <c r="M20" i="33"/>
  <c r="K20" i="33"/>
  <c r="I20" i="33"/>
  <c r="M19" i="33"/>
  <c r="K19" i="33"/>
  <c r="I19" i="33"/>
  <c r="M14" i="33"/>
  <c r="I14" i="33"/>
  <c r="K25" i="33" l="1"/>
  <c r="K27" i="33" s="1"/>
  <c r="M25" i="33"/>
  <c r="G14" i="33"/>
  <c r="M16" i="33"/>
  <c r="G21" i="33"/>
  <c r="G15" i="33"/>
  <c r="I25" i="33"/>
  <c r="I16" i="33"/>
  <c r="G13" i="33"/>
  <c r="G12" i="33"/>
  <c r="G10" i="33"/>
  <c r="G25" i="33" l="1"/>
  <c r="M27" i="33"/>
  <c r="G16" i="33"/>
  <c r="I27" i="33"/>
  <c r="G27" i="33" l="1"/>
  <c r="N24" i="32"/>
  <c r="L24" i="32"/>
  <c r="J24" i="32"/>
  <c r="M22" i="30"/>
  <c r="K22" i="30"/>
  <c r="I22" i="30"/>
  <c r="M21" i="30"/>
  <c r="K21" i="30"/>
  <c r="I21" i="30"/>
  <c r="M13" i="18" l="1"/>
  <c r="K13" i="18"/>
  <c r="I13" i="18"/>
  <c r="M14" i="18"/>
  <c r="I14" i="18"/>
  <c r="O11" i="15"/>
  <c r="M11" i="15"/>
  <c r="K11" i="15"/>
  <c r="I11" i="15"/>
  <c r="O13" i="13"/>
  <c r="M13" i="13"/>
  <c r="K13" i="13"/>
  <c r="I13" i="13"/>
  <c r="M12" i="13"/>
  <c r="M14" i="14"/>
  <c r="I14" i="14"/>
  <c r="O13" i="14"/>
  <c r="M13" i="14"/>
  <c r="K13" i="14"/>
  <c r="I13" i="14"/>
  <c r="O12" i="14"/>
  <c r="M12" i="14"/>
  <c r="K12" i="14"/>
  <c r="I12" i="14"/>
  <c r="G22" i="18" l="1"/>
  <c r="G21" i="18"/>
  <c r="G18" i="15"/>
  <c r="G17" i="15"/>
  <c r="G20" i="13"/>
  <c r="G23" i="13" s="1"/>
  <c r="G19" i="13"/>
  <c r="G21" i="14"/>
  <c r="C33" i="32" l="1"/>
  <c r="N17" i="32"/>
  <c r="J17" i="32"/>
  <c r="N16" i="32" l="1"/>
  <c r="L16" i="32"/>
  <c r="J16" i="32"/>
  <c r="N15" i="32"/>
  <c r="L15" i="32"/>
  <c r="J15" i="32"/>
  <c r="N13" i="32"/>
  <c r="L13" i="32"/>
  <c r="J13" i="32"/>
  <c r="J26" i="32"/>
  <c r="J28" i="32" s="1"/>
  <c r="L26" i="32"/>
  <c r="L28" i="32" s="1"/>
  <c r="N26" i="32"/>
  <c r="N28" i="32" s="1"/>
  <c r="H27" i="32"/>
  <c r="H16" i="32" l="1"/>
  <c r="N19" i="32"/>
  <c r="H17" i="32"/>
  <c r="H18" i="32"/>
  <c r="L19" i="32"/>
  <c r="H15" i="32"/>
  <c r="H13" i="32"/>
  <c r="H24" i="32"/>
  <c r="H25" i="32"/>
  <c r="J19" i="32"/>
  <c r="H28" i="32" l="1"/>
  <c r="N30" i="32"/>
  <c r="L30" i="32"/>
  <c r="H19" i="32"/>
  <c r="J30" i="32"/>
  <c r="H30" i="32" l="1"/>
  <c r="M14" i="30" l="1"/>
  <c r="M13" i="30"/>
  <c r="K13" i="30"/>
  <c r="I13" i="30"/>
  <c r="M12" i="30"/>
  <c r="K12" i="30"/>
  <c r="I12" i="30"/>
  <c r="M10" i="30"/>
  <c r="K10" i="30"/>
  <c r="I10" i="30"/>
  <c r="G22" i="30" l="1"/>
  <c r="G21" i="30"/>
  <c r="G24" i="30" l="1"/>
  <c r="M23" i="30"/>
  <c r="K23" i="30"/>
  <c r="I23" i="30"/>
  <c r="M20" i="30"/>
  <c r="K20" i="30"/>
  <c r="I20" i="30"/>
  <c r="M19" i="30"/>
  <c r="K19" i="30"/>
  <c r="I19" i="30"/>
  <c r="M16" i="30" l="1"/>
  <c r="G14" i="30"/>
  <c r="G15" i="30"/>
  <c r="K16" i="30"/>
  <c r="I16" i="30"/>
  <c r="G13" i="30"/>
  <c r="G12" i="30"/>
  <c r="M25" i="30"/>
  <c r="G25" i="30"/>
  <c r="G10" i="30"/>
  <c r="M27" i="30" l="1"/>
  <c r="G16" i="30"/>
  <c r="G27" i="30" s="1"/>
  <c r="I25" i="30"/>
  <c r="I27" i="30" s="1"/>
  <c r="K25" i="30"/>
  <c r="K27" i="30" s="1"/>
  <c r="M23" i="18" l="1"/>
  <c r="M20" i="18"/>
  <c r="M19" i="18"/>
  <c r="K23" i="18"/>
  <c r="K20" i="18"/>
  <c r="K19" i="18"/>
  <c r="O19" i="15"/>
  <c r="O16" i="15"/>
  <c r="O15" i="15"/>
  <c r="M19" i="15"/>
  <c r="M16" i="15"/>
  <c r="M15" i="15"/>
  <c r="K19" i="15"/>
  <c r="K16" i="15"/>
  <c r="K15" i="15"/>
  <c r="I19" i="15"/>
  <c r="I16" i="15"/>
  <c r="I15" i="15"/>
  <c r="O21" i="13"/>
  <c r="O18" i="13"/>
  <c r="O17" i="13"/>
  <c r="O23" i="13" s="1"/>
  <c r="M21" i="13"/>
  <c r="M18" i="13"/>
  <c r="K21" i="13"/>
  <c r="K18" i="13"/>
  <c r="K17" i="13"/>
  <c r="M17" i="13"/>
  <c r="I21" i="13"/>
  <c r="I18" i="13"/>
  <c r="I17" i="13"/>
  <c r="O20" i="14"/>
  <c r="M20" i="14"/>
  <c r="K20" i="14"/>
  <c r="O19" i="14"/>
  <c r="M19" i="14"/>
  <c r="K19" i="14"/>
  <c r="I23" i="13" l="1"/>
  <c r="K23" i="13"/>
  <c r="M23" i="13"/>
  <c r="G24" i="18"/>
  <c r="I23" i="18"/>
  <c r="I20" i="18"/>
  <c r="I19" i="18"/>
  <c r="G20" i="15"/>
  <c r="M25" i="18" l="1"/>
  <c r="M21" i="15"/>
  <c r="G14" i="18"/>
  <c r="M16" i="18"/>
  <c r="G13" i="18"/>
  <c r="K16" i="18"/>
  <c r="I16" i="18"/>
  <c r="G15" i="18"/>
  <c r="G25" i="18"/>
  <c r="G12" i="18"/>
  <c r="O12" i="15"/>
  <c r="M12" i="15"/>
  <c r="K12" i="15"/>
  <c r="G11" i="15"/>
  <c r="I12" i="15"/>
  <c r="G10" i="15"/>
  <c r="G21" i="15"/>
  <c r="I20" i="14"/>
  <c r="I19" i="14"/>
  <c r="G24" i="14"/>
  <c r="O11" i="13"/>
  <c r="M11" i="13"/>
  <c r="K11" i="13"/>
  <c r="I11" i="13"/>
  <c r="O21" i="15" l="1"/>
  <c r="O23" i="15" s="1"/>
  <c r="M23" i="15"/>
  <c r="M25" i="14"/>
  <c r="G12" i="13"/>
  <c r="G13" i="13"/>
  <c r="I25" i="18"/>
  <c r="I27" i="18" s="1"/>
  <c r="M27" i="18"/>
  <c r="G16" i="18"/>
  <c r="G27" i="18" s="1"/>
  <c r="K25" i="18"/>
  <c r="K27" i="18" s="1"/>
  <c r="G25" i="14"/>
  <c r="I21" i="15"/>
  <c r="I23" i="15" s="1"/>
  <c r="G12" i="15"/>
  <c r="G23" i="15" s="1"/>
  <c r="K21" i="15"/>
  <c r="K23" i="15" s="1"/>
  <c r="G14" i="14"/>
  <c r="G15" i="14"/>
  <c r="O16" i="14"/>
  <c r="K16" i="14"/>
  <c r="M16" i="14"/>
  <c r="G12" i="14"/>
  <c r="I16" i="14"/>
  <c r="G13" i="14"/>
  <c r="K14" i="13"/>
  <c r="K25" i="13" s="1"/>
  <c r="O14" i="13"/>
  <c r="O25" i="13" s="1"/>
  <c r="M14" i="13"/>
  <c r="M25" i="13" s="1"/>
  <c r="I14" i="13"/>
  <c r="I25" i="13" s="1"/>
  <c r="K25" i="14" l="1"/>
  <c r="K27" i="14" s="1"/>
  <c r="I25" i="14"/>
  <c r="I27" i="14" s="1"/>
  <c r="O25" i="14"/>
  <c r="O27" i="14" s="1"/>
  <c r="G16" i="14"/>
  <c r="G27" i="14" s="1"/>
  <c r="M27" i="14"/>
  <c r="G10" i="13"/>
  <c r="G11" i="13"/>
  <c r="G14" i="13" l="1"/>
  <c r="G25" i="13" s="1"/>
</calcChain>
</file>

<file path=xl/sharedStrings.xml><?xml version="1.0" encoding="utf-8"?>
<sst xmlns="http://schemas.openxmlformats.org/spreadsheetml/2006/main" count="419" uniqueCount="117">
  <si>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</si>
  <si>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</si>
  <si>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</si>
  <si>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</si>
  <si>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</si>
  <si>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</si>
  <si>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</si>
  <si>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</si>
  <si>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</si>
  <si>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</si>
  <si>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</si>
  <si>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</si>
  <si>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</si>
  <si>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</si>
  <si>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</si>
  <si>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</si>
  <si>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</si>
  <si>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</si>
  <si>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rPr>
        <vertAlign val="superscript"/>
        <sz val="11"/>
        <color theme="1"/>
        <rFont val="Calibri"/>
        <family val="2"/>
        <scheme val="minor"/>
      </rPr>
      <t>2</t>
    </r>
    <r>
      <rPr>
        <sz val="11"/>
        <color theme="1"/>
        <rFont val="Calibri"/>
        <family val="2"/>
        <scheme val="minor"/>
      </rPr>
      <t>Technology fees are $4 per credit. If you will be enrolled in less than 4 credits, you will not be eligible for federal student loans.</t>
    </r>
  </si>
  <si>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</si>
  <si>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</si>
  <si>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What is the starting term for your cohort?</t>
  </si>
  <si>
    <t>2019 Fall Quarter</t>
  </si>
  <si>
    <t>2020 Winter Quarter</t>
  </si>
  <si>
    <t>2020 Spring Quarter</t>
  </si>
  <si>
    <t>2020 Summer Quarter</t>
  </si>
  <si>
    <t>Flat-Rate</t>
  </si>
  <si>
    <t>No Flat-Rate</t>
  </si>
  <si>
    <t>Health Insurance</t>
  </si>
  <si>
    <t>Other Annual Assistance</t>
  </si>
  <si>
    <t>Payment(s) Made and/or Employer Reimbursements</t>
  </si>
  <si>
    <t>Denver MBA</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</si>
  <si>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</si>
  <si>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</si>
  <si>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</si>
  <si>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</si>
  <si>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</si>
  <si>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</si>
  <si>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</si>
  <si>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</si>
  <si>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</si>
  <si>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</si>
  <si>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</si>
  <si>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</si>
  <si>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</si>
  <si>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</si>
  <si>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</si>
  <si>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</si>
  <si>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</si>
  <si>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EMBA</t>
  </si>
  <si>
    <t>not enrolled</t>
  </si>
  <si>
    <t>Will you be enrolled in the following terms?</t>
  </si>
  <si>
    <t>How many credits will you take each quarter?</t>
  </si>
  <si>
    <t>Tech Fee</t>
  </si>
  <si>
    <t>Executive PhD</t>
  </si>
  <si>
    <t>Student Fee</t>
  </si>
  <si>
    <t>Denver MBA Full-Time Program</t>
  </si>
  <si>
    <t>Professional MBA Program</t>
  </si>
  <si>
    <t>MBA@ Denver Online Program</t>
  </si>
  <si>
    <t>Executive PhD Program</t>
  </si>
  <si>
    <t>21 credits</t>
  </si>
  <si>
    <t>22 credits</t>
  </si>
  <si>
    <t>Master's in Business Analytics Program</t>
  </si>
  <si>
    <t>All Other Specialized Master's Programs</t>
  </si>
  <si>
    <t xml:space="preserve">Will you use DU's Health &amp; Counseling Services? </t>
  </si>
  <si>
    <t>Will you enroll in DU's Health Insurance Plan?</t>
  </si>
  <si>
    <t>Technology fees are $4 per credit. If you will be enrolled in less than 4 credits, you will not be eligible for federal student loans.</t>
  </si>
  <si>
    <t>When will/did you start this program?</t>
  </si>
  <si>
    <t>2020 Fall Quarter or Later</t>
  </si>
  <si>
    <t>Prior to 2020 Fall Quarter</t>
  </si>
  <si>
    <r>
      <rPr>
        <b/>
        <i/>
        <sz val="11"/>
        <color rgb="FF000000"/>
        <rFont val="Calibri"/>
        <family val="2"/>
        <scheme val="minor"/>
      </rPr>
      <t xml:space="preserve">Note: </t>
    </r>
    <r>
      <rPr>
        <i/>
        <sz val="11"/>
        <color rgb="FF000000"/>
        <rFont val="Calibri"/>
        <family val="2"/>
        <scheme val="minor"/>
      </rPr>
      <t xml:space="preserve">If you are in the Master's of Business Analytics program, please use the worksheet on the previous tab. </t>
    </r>
  </si>
  <si>
    <t>Business Analytics</t>
  </si>
  <si>
    <t>2020 Fall Quarter</t>
  </si>
  <si>
    <t>2019 Start</t>
  </si>
  <si>
    <t>PMBA &amp; 2U</t>
  </si>
  <si>
    <t>2021 Spring Quarter</t>
  </si>
  <si>
    <r>
      <rPr>
        <vertAlign val="superscript"/>
        <sz val="11"/>
        <color theme="1"/>
        <rFont val="Calibri"/>
        <family val="2"/>
        <scheme val="minor"/>
      </rPr>
      <t>2</t>
    </r>
    <r>
      <rPr>
        <sz val="11"/>
        <color theme="1"/>
        <rFont val="Calibri"/>
        <family val="2"/>
        <scheme val="minor"/>
      </rPr>
      <t>Technology fees are $40 per term.</t>
    </r>
  </si>
  <si>
    <t>2021 Winter Quarter</t>
  </si>
  <si>
    <t>2021 Summer Quarter</t>
  </si>
  <si>
    <t>Executive MBA Program</t>
  </si>
  <si>
    <t>Choose Your Program:</t>
  </si>
  <si>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t>
    </r>
  </si>
  <si>
    <r>
      <rPr>
        <vertAlign val="superscript"/>
        <sz val="11"/>
        <color theme="1"/>
        <rFont val="Calibri"/>
        <family val="2"/>
        <scheme val="minor"/>
      </rPr>
      <t>4</t>
    </r>
    <r>
      <rPr>
        <sz val="11"/>
        <color theme="1"/>
        <rFont val="Calibri"/>
        <family val="2"/>
        <scheme val="minor"/>
      </rPr>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r>
  </si>
  <si>
    <t>This worksheet automatically deducts the 1.057% origination fee from the Direct Unsubsidized loan amount.</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</si>
  <si>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</si>
  <si>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t>2021 Start</t>
  </si>
  <si>
    <r>
      <t>1</t>
    </r>
    <r>
      <rPr>
        <sz val="11"/>
        <color theme="1"/>
        <rFont val="Calibri"/>
        <family val="2"/>
        <scheme val="minor"/>
      </rPr>
      <t>Tuition for the cohort that started in the 2019 fall quarter or 2020 spring quarter is $1,350 per credit. Tuition for the cohort starting in the 2020 fall quarter
   or later is $1,383 per credit.</t>
    </r>
  </si>
  <si>
    <t>Tuition</t>
  </si>
  <si>
    <r>
      <t>1</t>
    </r>
    <r>
      <rPr>
        <sz val="11"/>
        <color theme="1"/>
        <rFont val="Calibri"/>
        <family val="2"/>
        <scheme val="minor"/>
      </rPr>
      <t>Tuition is $16,598 per term.</t>
    </r>
  </si>
  <si>
    <t>2020 Or Later Start</t>
  </si>
  <si>
    <r>
      <t>1</t>
    </r>
    <r>
      <rPr>
        <sz val="11"/>
        <color theme="1"/>
        <rFont val="Calibri"/>
        <family val="2"/>
        <scheme val="minor"/>
      </rPr>
      <t>This worksheet assumes your cohort started in fall of 2020 or later; tuition for those cohorts is  $1,383 per credit. If your cohort started in the 2019-2020
  academic year, your tuition rate is $1,350 per credit.</t>
    </r>
  </si>
  <si>
    <t>2022 Fall Quarter</t>
  </si>
  <si>
    <t>2022 Start</t>
  </si>
  <si>
    <r>
      <t xml:space="preserve">2023-24 Estimated Billing Worksheets
</t>
    </r>
    <r>
      <rPr>
        <b/>
        <i/>
        <sz val="16"/>
        <color theme="1"/>
        <rFont val="Calibri"/>
        <family val="2"/>
        <scheme val="minor"/>
      </rPr>
      <t>Daniels College of Business</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</si>
  <si>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2023-2024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</si>
  <si>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WINTER 2024:</t>
  </si>
  <si>
    <t>SPRING 2024:</t>
  </si>
  <si>
    <t>WINTER 2024</t>
  </si>
  <si>
    <t>SPRING 2024</t>
  </si>
  <si>
    <t>FALL 2023:</t>
  </si>
  <si>
    <t>FALL 2023</t>
  </si>
  <si>
    <t>2023-24 Estimated Billing Worksheet
Daniels College of Business MS in Business Analytics Program</t>
  </si>
  <si>
    <t>2023-24 Estimated Billing Worksheet
Most Specialized Master's Programs</t>
  </si>
  <si>
    <t>2023-24 Estimated Billing Worksheet
Denver MBA Full-Time Program</t>
  </si>
  <si>
    <r>
      <t>1</t>
    </r>
    <r>
      <rPr>
        <sz val="11"/>
        <color theme="1"/>
        <rFont val="Calibri"/>
        <family val="2"/>
        <scheme val="minor"/>
      </rPr>
      <t>Tuition for 2023-2024 academic year is $1,200 per credit.</t>
    </r>
  </si>
  <si>
    <t>SUMMER 2024:</t>
  </si>
  <si>
    <t>SUMMER 2024</t>
  </si>
  <si>
    <t>2023-24 Estimated Billing Worksheet
Professional MBA Program</t>
  </si>
  <si>
    <t>2023-24 Estimated Billing Worksheet
Executive MBA Program</t>
  </si>
  <si>
    <t>2023-24 Estimated Billing Worksheet
MBA@Denver Online Program</t>
  </si>
  <si>
    <t>2023-24 Estimated Billing Worksheet
Daniels Executive Ph.D Program</t>
  </si>
  <si>
    <r>
      <t>1</t>
    </r>
    <r>
      <rPr>
        <sz val="11"/>
        <color theme="1"/>
        <rFont val="Calibri"/>
        <family val="2"/>
        <scheme val="minor"/>
      </rPr>
      <t>Tuition for 2023-2024 academic year is $1,178 per credit.</t>
    </r>
  </si>
  <si>
    <t>Tuition for the 2023-2024 academic year is $1,612 per credit.</t>
  </si>
  <si>
    <t>Tuition for the 2023-2024 academic year is $1,612 per credit. If enrolled in 12-18 credits, tuition will be charged a flat rate of $19,344.</t>
  </si>
  <si>
    <t>2023 Fall Quarter</t>
  </si>
  <si>
    <t>2023 Start</t>
  </si>
  <si>
    <t>1Tuition for the cohort that started in the 2022 fall quarter is $1,494 per credit. Tuition for the cohort starting in the 2023 fall quarter is 
   $1,568 per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</si>
</sst>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
      <b/>
      <i/>
      <sz val="11"/>
      <color rgb="FF00000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19">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right/>
      <top style="dashed">
        <color auto="1"/>
      </top>
      <bottom style="dashed">
        <color auto="1"/>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right style="dashed">
        <color indexed="64"/>
      </right>
      <top/>
      <bottom style="thin">
        <color indexed="64"/>
      </bottom>
      <diagonal/>
    </border>
    <border>
      <left style="dotted">
        <color indexed="64"/>
      </left>
      <right style="dotted">
        <color indexed="64"/>
      </right>
      <top style="dotted">
        <color indexed="64"/>
      </top>
      <bottom style="thin">
        <color indexed="64"/>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style="dashed">
        <color auto="1"/>
      </left>
      <right/>
      <top/>
      <bottom/>
      <diagonal/>
    </border>
    <border>
      <left/>
      <right/>
      <top/>
      <bottom style="dashed">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100">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Border="1" applyAlignment="1">
      <alignment horizontal="left"/>
    </xf>
    <xf numFmtId="0" fontId="0" fillId="0" borderId="3" xfId="0" applyBorder="1"/>
    <xf numFmtId="44" fontId="0" fillId="0" borderId="3" xfId="1" applyFont="1" applyBorder="1"/>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NumberFormat="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Fill="1" applyBorder="1" applyAlignment="1" applyProtection="1">
      <alignment horizontal="center" wrapText="1"/>
      <protection locked="0"/>
    </xf>
    <xf numFmtId="44" fontId="0" fillId="4" borderId="3" xfId="1" applyFont="1" applyFill="1" applyBorder="1" applyProtection="1">
      <protection locked="0"/>
    </xf>
    <xf numFmtId="44" fontId="0" fillId="2" borderId="11" xfId="1" applyFont="1" applyFill="1" applyBorder="1" applyProtection="1">
      <protection locked="0"/>
    </xf>
    <xf numFmtId="44" fontId="10" fillId="0" borderId="7" xfId="1" applyFont="1" applyBorder="1"/>
    <xf numFmtId="0" fontId="10" fillId="0" borderId="7" xfId="0" applyFont="1" applyBorder="1"/>
    <xf numFmtId="0" fontId="0" fillId="0" borderId="0" xfId="0" applyFill="1"/>
    <xf numFmtId="0" fontId="0" fillId="3" borderId="3" xfId="0" applyFill="1" applyBorder="1"/>
    <xf numFmtId="44" fontId="0" fillId="3" borderId="3" xfId="1" applyFont="1" applyFill="1" applyBorder="1"/>
    <xf numFmtId="0" fontId="4" fillId="0" borderId="0" xfId="0" applyFont="1" applyBorder="1" applyAlignment="1">
      <alignment horizontal="left" wrapText="1" indent="1"/>
    </xf>
    <xf numFmtId="0" fontId="0" fillId="3" borderId="0" xfId="0" applyFill="1" applyBorder="1"/>
    <xf numFmtId="44" fontId="0" fillId="3" borderId="0" xfId="1" applyFont="1" applyFill="1" applyBorder="1"/>
    <xf numFmtId="0" fontId="0" fillId="2" borderId="4" xfId="0" applyFill="1" applyBorder="1" applyProtection="1">
      <protection locked="0"/>
    </xf>
    <xf numFmtId="0" fontId="0" fillId="0" borderId="3" xfId="0" applyFill="1" applyBorder="1"/>
    <xf numFmtId="44" fontId="0" fillId="0" borderId="3" xfId="1" applyFont="1" applyFill="1" applyBorder="1"/>
    <xf numFmtId="44" fontId="0" fillId="3" borderId="3" xfId="1" applyFont="1" applyFill="1" applyBorder="1" applyProtection="1">
      <protection locked="0"/>
    </xf>
    <xf numFmtId="0" fontId="0" fillId="0" borderId="0" xfId="0" applyFont="1"/>
    <xf numFmtId="0" fontId="0" fillId="0" borderId="0" xfId="0" applyBorder="1"/>
    <xf numFmtId="44" fontId="0" fillId="0" borderId="0" xfId="1" applyFont="1" applyBorder="1"/>
    <xf numFmtId="0" fontId="0" fillId="0" borderId="0" xfId="0" applyFill="1" applyBorder="1" applyAlignment="1">
      <alignment horizontal="left"/>
    </xf>
    <xf numFmtId="0" fontId="0" fillId="0" borderId="0" xfId="0" applyFill="1" applyBorder="1"/>
    <xf numFmtId="44" fontId="0" fillId="0" borderId="0" xfId="1" applyFont="1" applyFill="1" applyBorder="1"/>
    <xf numFmtId="44" fontId="0" fillId="3" borderId="0" xfId="0" applyNumberFormat="1" applyFill="1"/>
    <xf numFmtId="44" fontId="0" fillId="0" borderId="3" xfId="0" applyNumberFormat="1" applyFill="1" applyBorder="1"/>
    <xf numFmtId="0" fontId="2" fillId="0" borderId="0" xfId="0" applyFont="1" applyAlignment="1">
      <alignment horizontal="right"/>
    </xf>
    <xf numFmtId="0" fontId="0" fillId="0" borderId="0" xfId="0" applyAlignment="1">
      <alignment horizontal="left" indent="2"/>
    </xf>
    <xf numFmtId="0" fontId="2" fillId="0" borderId="1" xfId="0" applyFont="1" applyBorder="1"/>
    <xf numFmtId="44" fontId="2" fillId="0" borderId="1" xfId="1" applyFont="1" applyBorder="1"/>
    <xf numFmtId="0" fontId="0" fillId="0" borderId="0" xfId="0" applyFill="1" applyAlignment="1">
      <alignment horizontal="left"/>
    </xf>
    <xf numFmtId="44" fontId="0" fillId="0" borderId="0" xfId="1" applyFont="1" applyFill="1"/>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0" fillId="0" borderId="0" xfId="0" applyProtection="1"/>
    <xf numFmtId="0" fontId="0" fillId="0" borderId="0" xfId="0" applyAlignment="1">
      <alignment horizontal="left"/>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0" fillId="2" borderId="5" xfId="0" applyFill="1" applyBorder="1" applyProtection="1">
      <protection locked="0"/>
    </xf>
    <xf numFmtId="0" fontId="11" fillId="0" borderId="0" xfId="0" applyFont="1" applyBorder="1" applyAlignment="1">
      <alignment horizontal="left" vertical="center" wrapText="1" indent="1"/>
    </xf>
    <xf numFmtId="0" fontId="0" fillId="0" borderId="0" xfId="0" applyAlignment="1">
      <alignment horizontal="left"/>
    </xf>
    <xf numFmtId="0" fontId="5" fillId="0" borderId="0" xfId="0" applyFont="1" applyAlignment="1">
      <alignment horizontal="right" vertical="top"/>
    </xf>
    <xf numFmtId="0" fontId="5" fillId="0" borderId="0" xfId="0" applyFont="1" applyAlignment="1">
      <alignment horizontal="right"/>
    </xf>
    <xf numFmtId="0" fontId="0" fillId="0" borderId="0" xfId="0" applyAlignment="1"/>
    <xf numFmtId="0" fontId="0" fillId="0" borderId="0" xfId="0" applyAlignment="1">
      <alignment wrapText="1"/>
    </xf>
    <xf numFmtId="0" fontId="5" fillId="0" borderId="0" xfId="0" applyFont="1"/>
    <xf numFmtId="44" fontId="0" fillId="2" borderId="14" xfId="1" applyFont="1" applyFill="1" applyBorder="1" applyProtection="1">
      <protection locked="0"/>
    </xf>
    <xf numFmtId="0" fontId="15" fillId="0" borderId="0" xfId="0" applyFont="1" applyBorder="1" applyAlignment="1">
      <alignment horizontal="left" vertical="top" indent="1"/>
    </xf>
    <xf numFmtId="0" fontId="4" fillId="2" borderId="6" xfId="0" applyFont="1" applyFill="1" applyBorder="1" applyAlignment="1" applyProtection="1">
      <alignment horizontal="center" wrapText="1"/>
      <protection locked="0"/>
    </xf>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4" fillId="0" borderId="17" xfId="0" applyFont="1" applyFill="1" applyBorder="1" applyAlignment="1" applyProtection="1">
      <alignment wrapText="1"/>
      <protection locked="0"/>
    </xf>
    <xf numFmtId="44" fontId="2" fillId="0" borderId="18" xfId="1" applyFont="1" applyBorder="1" applyAlignment="1">
      <alignment horizontal="center"/>
    </xf>
    <xf numFmtId="0" fontId="0" fillId="0" borderId="0" xfId="0" applyAlignment="1">
      <alignment horizontal="left"/>
    </xf>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Border="1" applyAlignment="1">
      <alignment horizontal="left" vertical="center" wrapText="1"/>
    </xf>
    <xf numFmtId="0" fontId="0" fillId="0" borderId="0" xfId="0" applyAlignment="1">
      <alignment horizontal="left"/>
    </xf>
    <xf numFmtId="0" fontId="0" fillId="0" borderId="0" xfId="0" applyAlignment="1">
      <alignment horizontal="left" wrapText="1"/>
    </xf>
    <xf numFmtId="0" fontId="3" fillId="0" borderId="3" xfId="0" applyFont="1" applyBorder="1" applyAlignment="1">
      <alignment horizontal="right" vertical="top" wrapText="1"/>
    </xf>
    <xf numFmtId="0" fontId="5" fillId="0" borderId="0" xfId="0" applyFont="1" applyAlignment="1">
      <alignment horizontal="left" wrapText="1"/>
    </xf>
    <xf numFmtId="0" fontId="11" fillId="0" borderId="0" xfId="0" applyFont="1" applyBorder="1" applyAlignment="1">
      <alignment horizontal="left" vertical="center" wrapText="1" indent="1"/>
    </xf>
    <xf numFmtId="0" fontId="0" fillId="3" borderId="0" xfId="0" applyFill="1" applyAlignment="1">
      <alignment horizontal="center"/>
    </xf>
    <xf numFmtId="0" fontId="0" fillId="3" borderId="3" xfId="0" applyFill="1" applyBorder="1" applyAlignment="1">
      <alignment horizontal="left"/>
    </xf>
    <xf numFmtId="0" fontId="13" fillId="3" borderId="0" xfId="2" applyFill="1" applyBorder="1" applyAlignment="1">
      <alignment horizontal="left"/>
    </xf>
    <xf numFmtId="0" fontId="13" fillId="3" borderId="12" xfId="2" applyFill="1" applyBorder="1" applyAlignment="1">
      <alignment horizontal="left"/>
    </xf>
    <xf numFmtId="0" fontId="13" fillId="0" borderId="3" xfId="2" applyFill="1" applyBorder="1" applyAlignment="1">
      <alignment horizontal="left"/>
    </xf>
    <xf numFmtId="0" fontId="13" fillId="0" borderId="13" xfId="2" applyFill="1" applyBorder="1" applyAlignment="1">
      <alignment horizontal="left"/>
    </xf>
    <xf numFmtId="0" fontId="3" fillId="0" borderId="0" xfId="0" applyFont="1" applyAlignment="1">
      <alignment horizontal="right" vertical="top" wrapText="1"/>
    </xf>
    <xf numFmtId="0" fontId="3" fillId="0" borderId="0" xfId="0" applyFont="1" applyAlignment="1">
      <alignment horizontal="right" vertical="top"/>
    </xf>
    <xf numFmtId="0" fontId="0" fillId="2" borderId="16" xfId="0" applyFill="1" applyBorder="1" applyAlignment="1" applyProtection="1">
      <alignment horizontal="left"/>
      <protection locked="0"/>
    </xf>
    <xf numFmtId="0" fontId="0" fillId="2" borderId="15" xfId="0" applyFill="1" applyBorder="1" applyAlignment="1" applyProtection="1">
      <alignment horizontal="left"/>
      <protection locked="0"/>
    </xf>
    <xf numFmtId="0" fontId="4" fillId="2" borderId="8" xfId="0" applyFont="1" applyFill="1" applyBorder="1" applyAlignment="1" applyProtection="1">
      <alignment horizontal="center" wrapText="1"/>
      <protection locked="0"/>
    </xf>
    <xf numFmtId="0" fontId="4" fillId="2" borderId="10" xfId="0" applyFont="1" applyFill="1" applyBorder="1" applyAlignment="1" applyProtection="1">
      <alignment horizontal="center" wrapText="1"/>
      <protection locked="0"/>
    </xf>
    <xf numFmtId="0" fontId="4" fillId="2" borderId="9" xfId="0" applyFont="1" applyFill="1" applyBorder="1" applyAlignment="1" applyProtection="1">
      <alignment horizontal="center" wrapText="1"/>
      <protection locked="0"/>
    </xf>
    <xf numFmtId="0" fontId="0" fillId="0" borderId="3" xfId="0" applyBorder="1" applyAlignment="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1850247</xdr:colOff>
      <xdr:row>1</xdr:row>
      <xdr:rowOff>533400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50247" cy="42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695974</xdr:colOff>
      <xdr:row>1</xdr:row>
      <xdr:rowOff>542925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877075" cy="4348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xdr:colOff>
      <xdr:row>1</xdr:row>
      <xdr:rowOff>104760</xdr:rowOff>
    </xdr:from>
    <xdr:ext cx="1828800" cy="423672"/>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6" y="323835"/>
          <a:ext cx="1828800" cy="42367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695974</xdr:colOff>
      <xdr:row>1</xdr:row>
      <xdr:rowOff>542925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877075" cy="4348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108070</xdr:rowOff>
    </xdr:from>
    <xdr:to>
      <xdr:col>3</xdr:col>
      <xdr:colOff>778206</xdr:colOff>
      <xdr:row>1</xdr:row>
      <xdr:rowOff>561975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7145"/>
          <a:ext cx="1959306" cy="4539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108070</xdr:rowOff>
    </xdr:from>
    <xdr:to>
      <xdr:col>3</xdr:col>
      <xdr:colOff>778206</xdr:colOff>
      <xdr:row>1</xdr:row>
      <xdr:rowOff>561975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7145"/>
          <a:ext cx="1959306" cy="453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737090</xdr:colOff>
      <xdr:row>1</xdr:row>
      <xdr:rowOff>552450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918191" cy="4443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737090</xdr:colOff>
      <xdr:row>1</xdr:row>
      <xdr:rowOff>552450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918191" cy="4443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7"/>
  <sheetViews>
    <sheetView showGridLines="0" showRowColHeaders="0" tabSelected="1" showRuler="0" zoomScaleNormal="100" workbookViewId="0"/>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55"/>
    </row>
    <row r="2" spans="1:4" ht="47.25" customHeight="1" x14ac:dyDescent="0.35">
      <c r="B2" s="78" t="s">
        <v>93</v>
      </c>
      <c r="C2" s="79"/>
      <c r="D2" s="79"/>
    </row>
    <row r="3" spans="1:4" ht="8.25" customHeight="1" x14ac:dyDescent="0.25">
      <c r="B3" s="21"/>
      <c r="C3" s="23"/>
      <c r="D3" s="23"/>
    </row>
    <row r="4" spans="1:4" ht="66.75" customHeight="1" x14ac:dyDescent="0.25">
      <c r="B4" s="80" t="s">
        <v>94</v>
      </c>
      <c r="C4" s="80"/>
      <c r="D4" s="80"/>
    </row>
    <row r="5" spans="1:4" ht="21.75" customHeight="1" x14ac:dyDescent="0.25">
      <c r="C5"/>
    </row>
    <row r="6" spans="1:4" ht="27" customHeight="1" x14ac:dyDescent="0.25">
      <c r="B6" s="53" t="s">
        <v>80</v>
      </c>
      <c r="C6"/>
    </row>
    <row r="7" spans="1:4" x14ac:dyDescent="0.25">
      <c r="B7" s="54" t="s">
        <v>62</v>
      </c>
    </row>
    <row r="8" spans="1:4" x14ac:dyDescent="0.25">
      <c r="B8" s="54" t="s">
        <v>63</v>
      </c>
    </row>
    <row r="9" spans="1:4" x14ac:dyDescent="0.25">
      <c r="B9" s="54" t="s">
        <v>56</v>
      </c>
    </row>
    <row r="10" spans="1:4" x14ac:dyDescent="0.25">
      <c r="B10" s="54" t="s">
        <v>57</v>
      </c>
    </row>
    <row r="11" spans="1:4" x14ac:dyDescent="0.25">
      <c r="B11" s="54" t="s">
        <v>79</v>
      </c>
    </row>
    <row r="12" spans="1:4" x14ac:dyDescent="0.25">
      <c r="B12" s="54" t="s">
        <v>58</v>
      </c>
    </row>
    <row r="13" spans="1:4" x14ac:dyDescent="0.25">
      <c r="B13" s="54" t="s">
        <v>59</v>
      </c>
    </row>
    <row r="14" spans="1:4" x14ac:dyDescent="0.25">
      <c r="B14" s="56"/>
    </row>
    <row r="17" spans="2:4" x14ac:dyDescent="0.25">
      <c r="B17" s="77" t="s">
        <v>14</v>
      </c>
      <c r="C17" s="77"/>
      <c r="D17" s="77"/>
    </row>
  </sheetData>
  <sheetProtection algorithmName="SHA-512" hashValue="dCd6Pkgl1u2aLu2PeI+PyTSCZo0gB5OSJQLrh4JwJXNR74JITzIEGpHmJW+MoLhK5irfYHUay2PvTRn4TjpyEA==" saltValue="zJuCUjybrdvmt+Xa6RabcQ==" spinCount="100000" sheet="1" objects="1" scenarios="1" selectLockedCells="1"/>
  <mergeCells count="3">
    <mergeCell ref="B17:D17"/>
    <mergeCell ref="B2:D2"/>
    <mergeCell ref="B4:D4"/>
  </mergeCells>
  <hyperlinks>
    <hyperlink ref="B8" location="'Master''s'!A1" display="All Other Specialized Master's Programs" xr:uid="{00000000-0004-0000-0000-000000000000}"/>
    <hyperlink ref="B9" location="'Denver MBA'!A1" display="Denver MBA Full-Time Program" xr:uid="{00000000-0004-0000-0000-000001000000}"/>
    <hyperlink ref="B10" location="PMBA!A1" display="Professional MBA Program" xr:uid="{00000000-0004-0000-0000-000002000000}"/>
    <hyperlink ref="B11" location="EMBA!A1" display="Executive MBA Program" xr:uid="{00000000-0004-0000-0000-000003000000}"/>
    <hyperlink ref="B12" location="'MBA@Denver'!A1" display="MBA@ Denver Online Program" xr:uid="{00000000-0004-0000-0000-000004000000}"/>
    <hyperlink ref="B13" location="'Executive PhD'!A1" display="Executive PhD Program" xr:uid="{00000000-0004-0000-0000-000005000000}"/>
    <hyperlink ref="B7" location="BA!A1" display="Master's in Business Analytics Program" xr:uid="{00000000-0004-0000-0000-000006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6"/>
  <sheetViews>
    <sheetView showGridLines="0" showRowColHeaders="0" showRuler="0" zoomScaleNormal="100" workbookViewId="0">
      <selection activeCell="E15" sqref="E15"/>
    </sheetView>
  </sheetViews>
  <sheetFormatPr defaultColWidth="8.85546875" defaultRowHeight="15" x14ac:dyDescent="0.25"/>
  <cols>
    <col min="1" max="1" width="4.140625" customWidth="1"/>
    <col min="4" max="4" width="26.140625" customWidth="1"/>
    <col min="5" max="5" width="11.42578125" bestFit="1" customWidth="1"/>
    <col min="7" max="7" width="13.140625" style="5" customWidth="1"/>
    <col min="8" max="8" width="4.7109375" customWidth="1"/>
    <col min="9" max="9" width="13.42578125" style="5" customWidth="1"/>
    <col min="10" max="10" width="4.7109375" customWidth="1"/>
    <col min="11" max="11" width="13.42578125" style="5" customWidth="1"/>
    <col min="12" max="12" width="4.7109375" style="5" customWidth="1"/>
    <col min="13" max="13" width="13.42578125" style="5" customWidth="1"/>
    <col min="14" max="14" width="3.42578125" customWidth="1"/>
  </cols>
  <sheetData>
    <row r="1" spans="2:14" ht="17.25" customHeight="1" x14ac:dyDescent="0.25"/>
    <row r="2" spans="2:14" ht="47.25" customHeight="1" x14ac:dyDescent="0.25">
      <c r="F2" s="83" t="s">
        <v>101</v>
      </c>
      <c r="G2" s="83"/>
      <c r="H2" s="83"/>
      <c r="I2" s="83"/>
      <c r="J2" s="83"/>
      <c r="K2" s="83"/>
      <c r="L2" s="83"/>
      <c r="M2" s="83"/>
      <c r="N2" s="83"/>
    </row>
    <row r="3" spans="2:14" ht="8.25" customHeight="1" x14ac:dyDescent="0.25">
      <c r="B3" s="21"/>
      <c r="C3" s="21"/>
      <c r="D3" s="21"/>
      <c r="E3" s="21"/>
      <c r="F3" s="21"/>
      <c r="G3" s="22"/>
      <c r="H3" s="23"/>
      <c r="I3" s="23"/>
      <c r="J3" s="23"/>
      <c r="K3" s="23"/>
      <c r="L3" s="23"/>
      <c r="M3" s="23"/>
      <c r="N3" s="23"/>
    </row>
    <row r="4" spans="2:14" ht="12" customHeight="1" x14ac:dyDescent="0.25">
      <c r="B4" s="85"/>
      <c r="C4" s="85"/>
      <c r="D4" s="85"/>
      <c r="E4" s="85"/>
      <c r="F4" s="85"/>
      <c r="G4" s="85"/>
      <c r="H4" s="85"/>
      <c r="I4" s="85"/>
      <c r="J4" s="85"/>
      <c r="K4" s="85"/>
      <c r="L4" s="85"/>
      <c r="M4" s="85"/>
      <c r="N4" s="85"/>
    </row>
    <row r="5" spans="2:14" ht="19.5" customHeight="1" x14ac:dyDescent="0.25">
      <c r="I5" s="59" t="s">
        <v>99</v>
      </c>
      <c r="K5" s="59" t="s">
        <v>95</v>
      </c>
      <c r="M5" s="59" t="s">
        <v>96</v>
      </c>
    </row>
    <row r="6" spans="2:14" ht="18" customHeight="1" x14ac:dyDescent="0.3">
      <c r="C6" s="6" t="s">
        <v>15</v>
      </c>
      <c r="D6" s="32"/>
      <c r="E6" s="32"/>
      <c r="F6" s="32"/>
      <c r="G6" s="32"/>
      <c r="H6" s="32"/>
      <c r="I6" s="58"/>
      <c r="K6" s="58"/>
      <c r="L6" s="24"/>
      <c r="M6" s="58"/>
      <c r="N6" s="32"/>
    </row>
    <row r="7" spans="2:14" ht="6" customHeight="1" x14ac:dyDescent="0.25"/>
    <row r="8" spans="2:14" ht="15.75" thickBot="1" x14ac:dyDescent="0.3">
      <c r="B8" s="1" t="s">
        <v>7</v>
      </c>
      <c r="C8" s="2"/>
      <c r="D8" s="2"/>
      <c r="E8" s="2"/>
      <c r="F8" s="2"/>
      <c r="G8" s="4" t="s">
        <v>3</v>
      </c>
      <c r="H8" s="3"/>
      <c r="I8" s="4" t="s">
        <v>100</v>
      </c>
      <c r="J8" s="3"/>
      <c r="K8" s="4" t="s">
        <v>97</v>
      </c>
      <c r="L8" s="4"/>
      <c r="M8" s="4" t="s">
        <v>98</v>
      </c>
      <c r="N8" s="2"/>
    </row>
    <row r="9" spans="2:14" ht="9" customHeight="1" x14ac:dyDescent="0.25"/>
    <row r="10" spans="2:14" ht="21.75" customHeight="1" x14ac:dyDescent="0.25">
      <c r="B10" s="11" t="s">
        <v>1</v>
      </c>
      <c r="C10" s="86"/>
      <c r="D10" s="86"/>
      <c r="E10" s="12"/>
      <c r="F10" s="12"/>
      <c r="G10" s="13" t="e">
        <f>I10+K10+M10</f>
        <v>#N/A</v>
      </c>
      <c r="H10" s="12"/>
      <c r="I10" s="13" t="e">
        <f>VLOOKUP(I6,Data1!A2:B21, 2, FALSE)</f>
        <v>#N/A</v>
      </c>
      <c r="J10" s="12"/>
      <c r="K10" s="13" t="e">
        <f>VLOOKUP(K6,Data1!A2:B21, 2, FALSE)</f>
        <v>#N/A</v>
      </c>
      <c r="L10" s="13"/>
      <c r="M10" s="13" t="e">
        <f>VLOOKUP(M6,Data1!A2:B21, 2, FALSE)</f>
        <v>#N/A</v>
      </c>
      <c r="N10" s="12"/>
    </row>
    <row r="11" spans="2:14" ht="21.75" customHeight="1" x14ac:dyDescent="0.25">
      <c r="B11" s="57" t="s">
        <v>0</v>
      </c>
    </row>
    <row r="12" spans="2:14" ht="21.75" customHeight="1" x14ac:dyDescent="0.25">
      <c r="B12" s="14" t="s">
        <v>2</v>
      </c>
      <c r="C12" s="12"/>
      <c r="D12" s="12"/>
      <c r="E12" s="12"/>
      <c r="F12" s="12"/>
      <c r="G12" s="13" t="e">
        <f>I12+K12+M12</f>
        <v>#N/A</v>
      </c>
      <c r="H12" s="12"/>
      <c r="I12" s="13" t="e">
        <f>VLOOKUP(I6,Data1!A2:C21, 3, FALSE)</f>
        <v>#N/A</v>
      </c>
      <c r="J12" s="12"/>
      <c r="K12" s="13" t="e">
        <f>VLOOKUP(K6, Data1!A2:C21, 3, FALSE)</f>
        <v>#N/A</v>
      </c>
      <c r="L12" s="13"/>
      <c r="M12" s="13" t="e">
        <f>VLOOKUP(M6, Data1!A2:C21, 3, FALSE)</f>
        <v>#N/A</v>
      </c>
      <c r="N12" s="12"/>
    </row>
    <row r="13" spans="2:14" ht="21.75" customHeight="1" x14ac:dyDescent="0.25">
      <c r="B13" s="48" t="s">
        <v>17</v>
      </c>
      <c r="G13" s="5" t="e">
        <f>I13+K13+M13</f>
        <v>#N/A</v>
      </c>
      <c r="I13" s="5" t="e">
        <f>VLOOKUP(I6,Data1!A2:D21, 4, FALSE)</f>
        <v>#N/A</v>
      </c>
      <c r="K13" s="5" t="e">
        <f>VLOOKUP(K6, Data1!A2:D21, 4, FALSE)</f>
        <v>#N/A</v>
      </c>
      <c r="M13" s="5" t="e">
        <f>VLOOKUP(M6, Data1!A2:D21, 4, FALSE)</f>
        <v>#N/A</v>
      </c>
    </row>
    <row r="14" spans="2:14" ht="21.75" customHeight="1" x14ac:dyDescent="0.25">
      <c r="B14" s="88" t="s">
        <v>65</v>
      </c>
      <c r="C14" s="88"/>
      <c r="D14" s="89"/>
      <c r="E14" s="35"/>
      <c r="F14" s="33"/>
      <c r="G14" s="34">
        <f>I14+K14+M14</f>
        <v>0</v>
      </c>
      <c r="H14" s="33"/>
      <c r="I14" s="34">
        <f>IF(AND(E14="Yes", I6&lt;&gt;"not enrolled"), (VLOOKUP(E14,Data1!A24:C25, 2, FALSE)), 0)</f>
        <v>0</v>
      </c>
      <c r="J14" s="33"/>
      <c r="K14" s="34">
        <v>0</v>
      </c>
      <c r="L14" s="34"/>
      <c r="M14" s="34">
        <f>IF(AND(E14="Yes", M6&lt;&gt;"not enrolled"), (VLOOKUP(E14,Data1!A24:C25, 2, FALSE)), 0)</f>
        <v>0</v>
      </c>
      <c r="N14" s="33"/>
    </row>
    <row r="15" spans="2:14" s="29" customFormat="1" ht="21.75" customHeight="1" x14ac:dyDescent="0.25">
      <c r="B15" s="90" t="s">
        <v>64</v>
      </c>
      <c r="C15" s="90"/>
      <c r="D15" s="91"/>
      <c r="E15" s="60"/>
      <c r="F15" s="36"/>
      <c r="G15" s="37">
        <f>I15+K15+M15</f>
        <v>0</v>
      </c>
      <c r="H15" s="36"/>
      <c r="I15" s="37">
        <f>IF(AND(E15="Yes", I6&lt;&gt;"not enrolled",I6&lt;&gt;"4 credits",I6&lt;&gt;"5 credits"), (VLOOKUP(E15,Data1!A24:C25, 3, FALSE)), 0)</f>
        <v>0</v>
      </c>
      <c r="J15" s="36"/>
      <c r="K15" s="37">
        <f>IF(AND(E15="Yes", K6&lt;&gt;"not enrolled",K6&lt;&gt;"4 credits",K6&lt;&gt;"5 credits"), (VLOOKUP(E15, Data1!A24:C25, 3, FALSE)), 0)</f>
        <v>0</v>
      </c>
      <c r="L15" s="37"/>
      <c r="M15" s="37">
        <f>IF(AND(E15="Yes", M6&lt;&gt;"not enrolled",M6&lt;&gt;"4 credits",M6&lt;&gt;"5 credits"), (VLOOKUP(E15,Data1!A24:C25, 3, FALSE)), 0)</f>
        <v>0</v>
      </c>
      <c r="N15" s="36"/>
    </row>
    <row r="16" spans="2:14" ht="21.75" customHeight="1" x14ac:dyDescent="0.25">
      <c r="C16" s="9" t="s">
        <v>6</v>
      </c>
      <c r="G16" s="10" t="e">
        <f>SUM(G10, G12:G15)</f>
        <v>#N/A</v>
      </c>
      <c r="I16" s="10" t="e">
        <f>SUM(I10,I12:I15)</f>
        <v>#N/A</v>
      </c>
      <c r="K16" s="10" t="e">
        <f>SUM(K10,K12:K15)</f>
        <v>#N/A</v>
      </c>
      <c r="L16" s="10"/>
      <c r="M16" s="10" t="e">
        <f>SUM(M10,M12:M15)</f>
        <v>#N/A</v>
      </c>
    </row>
    <row r="17" spans="2:15" ht="24" customHeight="1" x14ac:dyDescent="0.25"/>
    <row r="18" spans="2:15" ht="15.75" thickBot="1" x14ac:dyDescent="0.3">
      <c r="B18" s="1" t="s">
        <v>11</v>
      </c>
      <c r="C18" s="2"/>
      <c r="D18" s="2"/>
      <c r="E18" s="2"/>
      <c r="F18" s="2"/>
      <c r="G18" s="4" t="s">
        <v>3</v>
      </c>
      <c r="H18" s="3"/>
      <c r="I18" s="4" t="s">
        <v>100</v>
      </c>
      <c r="J18" s="3"/>
      <c r="K18" s="4" t="s">
        <v>97</v>
      </c>
      <c r="L18" s="4"/>
      <c r="M18" s="4" t="s">
        <v>98</v>
      </c>
      <c r="N18" s="2"/>
    </row>
    <row r="19" spans="2:15" ht="21.75" customHeight="1" x14ac:dyDescent="0.25">
      <c r="B19" t="s">
        <v>16</v>
      </c>
      <c r="G19" s="17"/>
      <c r="I19" s="5">
        <f>IF((AND(I6&lt;&gt;"not enrolled", K6&lt;&gt;"not enrolled", M6&lt;&gt;"not enrolled")), (G19/3), IF((AND(I6&lt;&gt;"not enrolled", K6&lt;&gt;"not enrolled", M6="not enrolled")), (G19/2), IF((AND(I6&lt;&gt;"not enrolled", K6="not enrolled", M6="not enrolled")), (G19/1), 0)))</f>
        <v>0</v>
      </c>
      <c r="K19" s="5">
        <f>IF((AND(I6&lt;&gt;"not enrolled", K6&lt;&gt;"not enrolled", M6&lt;&gt;"not enrolled")), (G19/3), IF((AND(I6&lt;&gt;"not enrolled", K6&lt;&gt;"not enrolled", M6="not enrolled")), (G19/2), IF((AND(I6="not enrolled", K6&lt;&gt;"not enrolled", M6&lt;&gt;"not enrolled")), (G19/2), 0)))</f>
        <v>0</v>
      </c>
      <c r="M19" s="5">
        <f>IF((AND(I6&lt;&gt;"not enrolled", K6&lt;&gt;"not enrolled", M6&lt;&gt;"not enrolled")), (G19/3), IF((AND(I6="not enrolled", K6&lt;&gt;"not enrolled", M6&lt;&gt;"not enrolled")), (G19/2), IF((AND(I6="not enrolled", K6="not enrolled", M6&lt;&gt;"not enrolled")), (G19), 0)))</f>
        <v>0</v>
      </c>
    </row>
    <row r="20" spans="2:15" ht="21.75" customHeight="1" x14ac:dyDescent="0.25">
      <c r="B20" s="12" t="s">
        <v>8</v>
      </c>
      <c r="C20" s="12"/>
      <c r="D20" s="12"/>
      <c r="E20" s="12"/>
      <c r="F20" s="12"/>
      <c r="G20" s="18"/>
      <c r="H20" s="12"/>
      <c r="I20" s="13">
        <f>IF((AND(I6&lt;&gt;"not enrolled", K6&lt;&gt;"not enrolled", M6&lt;&gt;"not enrolled")), (G20/3), IF((AND(I6&lt;&gt;"not enrolled", K6&lt;&gt;"not enrolled", M6="not enrolled")), (G20/2), IF((AND(I6&lt;&gt;"not enrolled", K6="not enrolled", M6="not enrolled")), (G20/1), 0)))</f>
        <v>0</v>
      </c>
      <c r="J20" s="12"/>
      <c r="K20" s="13">
        <f>IF((AND(I6&lt;&gt;"not enrolled", K6&lt;&gt;"not enrolled", M6&lt;&gt;"not enrolled")), (G20/3), IF((AND(I6&lt;&gt;"not enrolled", K6&lt;&gt;"not enrolled", M6="not enrolled")), (G20/2), IF((AND(I6="not enrolled", K6&lt;&gt;"not enrolled", M6&lt;&gt;"not enrolled")), (G20/2), 0)))</f>
        <v>0</v>
      </c>
      <c r="L20" s="13"/>
      <c r="M20" s="13">
        <f>IF((AND(I6&lt;&gt;"not enrolled", K6&lt;&gt;"not enrolled", M6&lt;&gt;"not enrolled")), (G20/3), IF((AND(I6="not enrolled", K6&lt;&gt;"not enrolled", M6&lt;&gt;"not enrolled")), (G20/2), IF((AND(I6="not enrolled", K6="not enrolled", M6&lt;&gt;"not enrolled")), (G20), 0)))</f>
        <v>0</v>
      </c>
      <c r="N20" s="12"/>
    </row>
    <row r="21" spans="2:15" ht="21.75" customHeight="1" x14ac:dyDescent="0.25">
      <c r="B21" t="s">
        <v>19</v>
      </c>
      <c r="E21" s="19"/>
      <c r="G21" s="5">
        <f>SUM(I21,K21,M21)</f>
        <v>0</v>
      </c>
      <c r="I21" s="5">
        <f>IF((AND(I6&lt;&gt;"not enrolled", K6&lt;&gt;"not enrolled", M6&lt;&gt;"not enrolled")), ROUND(((E21-(E21*0.01057))/3),0), IF((AND(I6&lt;&gt;"not enrolled", K6&lt;&gt;"not enrolled", M6="not enrolled")), ROUND(((E21-(E21*0.01057))/2),0), IF((AND(I6&lt;&gt;"not enrolled", K6="not enrolled", M6="not enrolled")), ROUND(((E21-(E21*0.01057))/1),0), 0)))</f>
        <v>0</v>
      </c>
      <c r="K21" s="5">
        <f>IF((AND(I6&lt;&gt;"not enrolled", K6&lt;&gt;"not enrolled", M6&lt;&gt;"not enrolled")), ROUND(((E21-(E21*0.01057))/3),0), IF((AND(I6&lt;&gt;"not enrolled", K6&lt;&gt;"not enrolled", M6="not enrolled")), ROUND(((E21-(E21*0.01057))/2),0), IF((AND(I6="not enrolled", K6&lt;&gt;"not enrolled", M6&lt;&gt;"not enrolled")), ROUND(((E21-(E21*0.01057))/2),0), 0)))</f>
        <v>0</v>
      </c>
      <c r="M21" s="5">
        <f>IF((AND(I6&lt;&gt;"not enrolled", K6&lt;&gt;"not enrolled", M6&lt;&gt;"not enrolled")), ROUND(((E21-(E21*0.01057))/3),0), IF((AND(I6="not enrolled", K6&lt;&gt;"not enrolled", M6&lt;&gt;"not enrolled")), ROUND(((E21-(E21*0.01057))/2),0), IF((AND(I6="not enrolled", K6="not enrolled", M6&lt;&gt;"not enrolled")), ROUND(((E21-(E21*0.01057))/1),0), 0)))</f>
        <v>0</v>
      </c>
    </row>
    <row r="22" spans="2:15" ht="21.75" customHeight="1" x14ac:dyDescent="0.25">
      <c r="B22" s="12" t="s">
        <v>20</v>
      </c>
      <c r="C22" s="12"/>
      <c r="D22" s="12"/>
      <c r="E22" s="19"/>
      <c r="F22" s="12"/>
      <c r="G22" s="13">
        <f>SUM(I22,K22,M22)</f>
        <v>0</v>
      </c>
      <c r="H22" s="12"/>
      <c r="I22" s="13">
        <f>IF((AND(I6&lt;&gt;"not enrolled", K6&lt;&gt;"not enrolled", M6&lt;&gt;"not enrolled")), ROUND(((E22-(E22*0.04228))/3),0), IF((AND(I6&lt;&gt;"not enrolled", K6&lt;&gt;"not enrolled", M6="not enrolled")), ROUND(((E22-(E22*0.04228))/2),0), IF((AND(I6&lt;&gt;"not enrolled", K6="not enrolled", M6="not enrolled")), ROUND(((E22-(E22*0.04228))/1),0), 0)))</f>
        <v>0</v>
      </c>
      <c r="J22" s="12"/>
      <c r="K22" s="13">
        <f>IF((AND(I6&lt;&gt;"not enrolled", K6&lt;&gt;"not enrolled", M6&lt;&gt;"not enrolled")), ROUND(((E22-(E22*0.04228))/3),0), IF((AND(I6&lt;&gt;"not enrolled", K6&lt;&gt;"not enrolled", M6="not enrolled")), ROUND(((E22-(E22*0.04228))/2),0), IF((AND(I6="not enrolled", K6&lt;&gt;"not enrolled", M6&lt;&gt;"not enrolled")), ROUND(((E22-(E22*0.04228))/2),0), 0)))</f>
        <v>0</v>
      </c>
      <c r="L22" s="13"/>
      <c r="M22" s="13">
        <f>IF((AND(I6&lt;&gt;"not enrolled", K6&lt;&gt;"not enrolled", M6&lt;&gt;"not enrolled")), ROUND(((E22-(E22*0.04228))/3),0), IF((AND(I6="not enrolled", K6&lt;&gt;"not enrolled", M6&lt;&gt;"not enrolled")), ROUND(((E22-(E22*0.04228))/2),0), IF((AND(I6="not enrolled", K6="not enrolled", M6&lt;&gt;"not enrolled")), ROUND(((E22-(E22*0.04228))/1),0), 0)))</f>
        <v>0</v>
      </c>
      <c r="N22" s="12"/>
    </row>
    <row r="23" spans="2:15" ht="21.75" customHeight="1" x14ac:dyDescent="0.25">
      <c r="B23" s="81" t="s">
        <v>29</v>
      </c>
      <c r="C23" s="81"/>
      <c r="D23" s="81"/>
      <c r="E23" s="81"/>
      <c r="G23" s="18"/>
      <c r="I23" s="5">
        <f>IF((AND(I6&lt;&gt;"not enrolled", K6&lt;&gt;"not enrolled", M6&lt;&gt;"not enrolled")), (G23/3), IF((AND(I6&lt;&gt;"not enrolled", K6&lt;&gt;"not enrolled", M6="not enrolled")), (G23/2), IF((AND(I6&lt;&gt;"not enrolled", K6="not enrolled", M6="not enrolled")), (G23/1), 0)))</f>
        <v>0</v>
      </c>
      <c r="K23" s="5">
        <f>IF((AND(I6&lt;&gt;"not enrolled", K6&lt;&gt;"not enrolled", M6&lt;&gt;"not enrolled")), (G23/3), IF((AND(I6&lt;&gt;"not enrolled", K6&lt;&gt;"not enrolled", M6="not enrolled")), (G23/2), IF((AND(I6="not enrolled", K6&lt;&gt;"not enrolled", M6&lt;&gt;"not enrolled")), (G23/2), 0)))</f>
        <v>0</v>
      </c>
      <c r="M23" s="5">
        <f>IF((AND(I6&lt;&gt;"not enrolled", K6&lt;&gt;"not enrolled", M6&lt;&gt;"not enrolled")), (G23/3), IF((AND(I6="not enrolled", K6&lt;&gt;"not enrolled", M6&lt;&gt;"not enrolled")), (G23/2), IF((AND(I6="not enrolled", K6="not enrolled", M6&lt;&gt;"not enrolled")), (G23), 0)))</f>
        <v>0</v>
      </c>
    </row>
    <row r="24" spans="2:15" ht="21.75" customHeight="1" x14ac:dyDescent="0.25">
      <c r="B24" s="87" t="s">
        <v>30</v>
      </c>
      <c r="C24" s="87"/>
      <c r="D24" s="87"/>
      <c r="E24" s="87"/>
      <c r="F24" s="87"/>
      <c r="G24" s="31">
        <f>I24+K24+M24</f>
        <v>0</v>
      </c>
      <c r="H24" s="30"/>
      <c r="I24" s="20"/>
      <c r="J24" s="30"/>
      <c r="K24" s="20"/>
      <c r="L24" s="38"/>
      <c r="M24" s="26"/>
      <c r="N24" s="30"/>
    </row>
    <row r="25" spans="2:15" ht="21.75" customHeight="1" x14ac:dyDescent="0.25">
      <c r="C25" s="9" t="s">
        <v>10</v>
      </c>
      <c r="G25" s="5">
        <f>SUM(G19:G24)</f>
        <v>0</v>
      </c>
      <c r="I25" s="5">
        <f>SUM(I19:I24)</f>
        <v>0</v>
      </c>
      <c r="K25" s="5">
        <f>SUM(K19:K23,K24)</f>
        <v>0</v>
      </c>
      <c r="M25" s="5">
        <f>SUM(M19:M23,M24)</f>
        <v>0</v>
      </c>
    </row>
    <row r="26" spans="2:15" ht="15.75" thickBot="1" x14ac:dyDescent="0.3"/>
    <row r="27" spans="2:15" ht="21.75" customHeight="1" thickTop="1" thickBot="1" x14ac:dyDescent="0.35">
      <c r="B27" s="16" t="s">
        <v>12</v>
      </c>
      <c r="C27" s="15"/>
      <c r="D27" s="15"/>
      <c r="E27" s="15"/>
      <c r="F27" s="15"/>
      <c r="G27" s="27" t="e">
        <f>G16-G25</f>
        <v>#N/A</v>
      </c>
      <c r="H27" s="28"/>
      <c r="I27" s="27" t="e">
        <f>I16-I25</f>
        <v>#N/A</v>
      </c>
      <c r="J27" s="28"/>
      <c r="K27" s="27" t="e">
        <f>K16-K25</f>
        <v>#N/A</v>
      </c>
      <c r="L27" s="27"/>
      <c r="M27" s="27" t="e">
        <f>M16-M25</f>
        <v>#N/A</v>
      </c>
      <c r="N27" s="15"/>
    </row>
    <row r="28" spans="2:15" ht="15.75" thickTop="1" x14ac:dyDescent="0.25"/>
    <row r="29" spans="2:15" x14ac:dyDescent="0.25">
      <c r="B29" s="9" t="s">
        <v>13</v>
      </c>
    </row>
    <row r="30" spans="2:15" ht="21.75" customHeight="1" x14ac:dyDescent="0.25">
      <c r="B30" s="84" t="s">
        <v>111</v>
      </c>
      <c r="C30" s="82"/>
      <c r="D30" s="82"/>
      <c r="E30" s="82"/>
      <c r="F30" s="82"/>
      <c r="G30" s="82"/>
      <c r="H30" s="82"/>
      <c r="I30" s="82"/>
      <c r="J30" s="82"/>
      <c r="K30" s="82"/>
      <c r="L30" s="82"/>
      <c r="M30" s="82"/>
      <c r="N30" s="82"/>
      <c r="O30" s="82"/>
    </row>
    <row r="31" spans="2:15" ht="21.75" customHeight="1" x14ac:dyDescent="0.25">
      <c r="B31" s="81" t="s">
        <v>18</v>
      </c>
      <c r="C31" s="81"/>
      <c r="D31" s="81"/>
      <c r="E31" s="81"/>
      <c r="F31" s="81"/>
      <c r="G31" s="81"/>
      <c r="H31" s="81"/>
      <c r="I31" s="81"/>
      <c r="J31" s="81"/>
      <c r="K31" s="81"/>
      <c r="L31" s="81"/>
      <c r="M31" s="81"/>
      <c r="N31" s="81"/>
    </row>
    <row r="32" spans="2:15" ht="21.75" customHeight="1" x14ac:dyDescent="0.25">
      <c r="B32" t="s">
        <v>81</v>
      </c>
    </row>
    <row r="33" spans="2:14" ht="51" customHeight="1" x14ac:dyDescent="0.25">
      <c r="B33" s="82" t="s">
        <v>82</v>
      </c>
      <c r="C33" s="82"/>
      <c r="D33" s="82"/>
      <c r="E33" s="82"/>
      <c r="F33" s="82"/>
      <c r="G33" s="82"/>
      <c r="H33" s="82"/>
      <c r="I33" s="82"/>
      <c r="J33" s="82"/>
      <c r="K33" s="82"/>
      <c r="L33" s="82"/>
      <c r="M33" s="82"/>
      <c r="N33" s="82"/>
    </row>
    <row r="34" spans="2:14" ht="21.75" customHeight="1" x14ac:dyDescent="0.25"/>
    <row r="36" spans="2:14" x14ac:dyDescent="0.25">
      <c r="B36" s="77" t="s">
        <v>14</v>
      </c>
      <c r="C36" s="77"/>
      <c r="D36" s="77"/>
      <c r="E36" s="77"/>
      <c r="F36" s="77"/>
      <c r="G36" s="77"/>
      <c r="H36" s="77"/>
      <c r="I36" s="77"/>
      <c r="J36" s="77"/>
      <c r="K36" s="77"/>
      <c r="L36" s="77"/>
      <c r="M36" s="77"/>
      <c r="N36" s="77"/>
    </row>
  </sheetData>
  <sheetProtection algorithmName="SHA-512" hashValue="xQOmT8klP5F4PvxEC7F5IWS5VJADewEb7qQvRP8FLzpeRvnss/F3R8MlNYxhgMdUFuxsY3zhsBdGY355uIRzPw==" saltValue="iEPcsC255NzCC3GJ7PJN2w==" spinCount="100000" sheet="1" objects="1" scenarios="1" selectLockedCells="1"/>
  <mergeCells count="11">
    <mergeCell ref="B31:N31"/>
    <mergeCell ref="B33:N33"/>
    <mergeCell ref="B36:N36"/>
    <mergeCell ref="F2:N2"/>
    <mergeCell ref="B30:O30"/>
    <mergeCell ref="B4:N4"/>
    <mergeCell ref="C10:D10"/>
    <mergeCell ref="B23:E23"/>
    <mergeCell ref="B24:F24"/>
    <mergeCell ref="B14:D14"/>
    <mergeCell ref="B15:D15"/>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Data1!$A$2:$A$21</xm:f>
          </x14:formula1>
          <xm:sqref>M6 I6 K6</xm:sqref>
        </x14:dataValidation>
        <x14:dataValidation type="list" allowBlank="1" showInputMessage="1" showErrorMessage="1" xr:uid="{00000000-0002-0000-0100-000001000000}">
          <x14:formula1>
            <xm:f>Data1!$A$24:$A$25</xm:f>
          </x14:formula1>
          <xm:sqref>E14:E15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39"/>
  <sheetViews>
    <sheetView showGridLines="0" showRowColHeaders="0" showRuler="0" zoomScaleNormal="100" workbookViewId="0">
      <selection activeCell="G6" sqref="G6:H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92" t="s">
        <v>102</v>
      </c>
      <c r="I2" s="93"/>
      <c r="J2" s="93"/>
      <c r="K2" s="93"/>
      <c r="L2" s="93"/>
      <c r="M2" s="93"/>
      <c r="N2" s="93"/>
      <c r="O2" s="93"/>
    </row>
    <row r="3" spans="2:15" ht="8.25" customHeight="1" x14ac:dyDescent="0.25">
      <c r="B3" s="21"/>
      <c r="C3" s="21"/>
      <c r="D3" s="21"/>
      <c r="E3" s="21"/>
      <c r="F3" s="21"/>
      <c r="G3" s="21"/>
      <c r="H3" s="22"/>
      <c r="I3" s="23"/>
      <c r="J3" s="23"/>
      <c r="K3" s="23"/>
      <c r="L3" s="23"/>
      <c r="M3" s="23"/>
      <c r="N3" s="23"/>
      <c r="O3" s="23"/>
    </row>
    <row r="4" spans="2:15" ht="27.75" customHeight="1" x14ac:dyDescent="0.25">
      <c r="B4" s="61"/>
      <c r="C4" s="69" t="s">
        <v>70</v>
      </c>
      <c r="D4" s="61"/>
      <c r="E4" s="61"/>
      <c r="F4" s="61"/>
      <c r="G4" s="61"/>
      <c r="H4" s="61"/>
      <c r="I4" s="61"/>
      <c r="J4" s="61"/>
      <c r="K4" s="61"/>
      <c r="L4" s="61"/>
      <c r="M4" s="61"/>
      <c r="N4" s="61"/>
      <c r="O4" s="61"/>
    </row>
    <row r="5" spans="2:15" ht="13.5" customHeight="1" x14ac:dyDescent="0.25">
      <c r="B5" s="61"/>
      <c r="C5" s="69"/>
      <c r="D5" s="61"/>
      <c r="E5" s="61"/>
      <c r="F5" s="61"/>
      <c r="G5" s="61"/>
      <c r="H5" s="61"/>
      <c r="I5" s="61"/>
      <c r="J5" s="61"/>
      <c r="K5" s="61"/>
      <c r="L5" s="61"/>
      <c r="M5" s="61"/>
      <c r="N5" s="61"/>
      <c r="O5" s="61"/>
    </row>
    <row r="6" spans="2:15" ht="19.5" customHeight="1" x14ac:dyDescent="0.3">
      <c r="D6" s="6" t="s">
        <v>67</v>
      </c>
      <c r="G6" s="94"/>
      <c r="H6" s="95"/>
      <c r="J6" s="59"/>
      <c r="L6" s="59"/>
      <c r="N6" s="59"/>
    </row>
    <row r="7" spans="2:15" ht="19.5" customHeight="1" x14ac:dyDescent="0.25">
      <c r="J7" s="59"/>
      <c r="L7" s="59"/>
      <c r="N7" s="59"/>
    </row>
    <row r="8" spans="2:15" ht="19.5" customHeight="1" x14ac:dyDescent="0.25">
      <c r="J8" s="59" t="s">
        <v>99</v>
      </c>
      <c r="L8" s="59" t="s">
        <v>95</v>
      </c>
      <c r="N8" s="59" t="s">
        <v>96</v>
      </c>
    </row>
    <row r="9" spans="2:15" ht="18" customHeight="1" x14ac:dyDescent="0.3">
      <c r="D9" s="6" t="s">
        <v>15</v>
      </c>
      <c r="E9" s="32"/>
      <c r="F9" s="32"/>
      <c r="G9" s="32"/>
      <c r="H9" s="32"/>
      <c r="I9" s="32"/>
      <c r="J9" s="58"/>
      <c r="L9" s="58"/>
      <c r="M9" s="24"/>
      <c r="N9" s="58"/>
      <c r="O9" s="32"/>
    </row>
    <row r="10" spans="2:15" ht="6" customHeight="1" x14ac:dyDescent="0.25"/>
    <row r="11" spans="2:15" ht="15.75" thickBot="1" x14ac:dyDescent="0.3">
      <c r="B11" s="1" t="s">
        <v>7</v>
      </c>
      <c r="C11" s="1"/>
      <c r="D11" s="2"/>
      <c r="E11" s="2"/>
      <c r="F11" s="2"/>
      <c r="G11" s="2"/>
      <c r="H11" s="4" t="s">
        <v>3</v>
      </c>
      <c r="I11" s="3"/>
      <c r="J11" s="4" t="s">
        <v>100</v>
      </c>
      <c r="K11" s="3"/>
      <c r="L11" s="4" t="s">
        <v>97</v>
      </c>
      <c r="M11" s="4"/>
      <c r="N11" s="4" t="s">
        <v>98</v>
      </c>
      <c r="O11" s="2"/>
    </row>
    <row r="12" spans="2:15" ht="9" customHeight="1" x14ac:dyDescent="0.25"/>
    <row r="13" spans="2:15" ht="21.75" customHeight="1" x14ac:dyDescent="0.25">
      <c r="B13" s="11" t="s">
        <v>1</v>
      </c>
      <c r="C13" s="11"/>
      <c r="D13" s="86"/>
      <c r="E13" s="86"/>
      <c r="F13" s="12"/>
      <c r="G13" s="12"/>
      <c r="H13" s="13" t="e">
        <f>J13+L13+N13</f>
        <v>#N/A</v>
      </c>
      <c r="I13" s="12"/>
      <c r="J13" s="13" t="e">
        <f>IF(G6="2020 Fall Quarter or Later",(VLOOKUP(J9,Data1!K2:L21,2,FALSE)),(VLOOKUP(J9,Data1!F2:G21,2,FALSE)))</f>
        <v>#N/A</v>
      </c>
      <c r="K13" s="12"/>
      <c r="L13" s="13" t="e">
        <f>IF(G6="2020 Fall Quarter or Later",(VLOOKUP(L9,Data1!K2:L21,2,FALSE)),(VLOOKUP(L9,Data1!F2:G21,2,FALSE)))</f>
        <v>#N/A</v>
      </c>
      <c r="M13" s="13"/>
      <c r="N13" s="13" t="e">
        <f>IF(G6="2020 Fall Quarter or Later",(VLOOKUP(N9,Data1!K2:L21,2,FALSE)),(VLOOKUP(N9,Data1!F2:G21,2,FALSE)))</f>
        <v>#N/A</v>
      </c>
      <c r="O13" s="12"/>
    </row>
    <row r="14" spans="2:15" ht="21.75" customHeight="1" x14ac:dyDescent="0.25">
      <c r="B14" s="62" t="s">
        <v>0</v>
      </c>
      <c r="C14" s="62"/>
    </row>
    <row r="15" spans="2:15" ht="21.75" customHeight="1" x14ac:dyDescent="0.25">
      <c r="B15" s="14" t="s">
        <v>2</v>
      </c>
      <c r="C15" s="14"/>
      <c r="D15" s="12"/>
      <c r="E15" s="12"/>
      <c r="F15" s="12"/>
      <c r="G15" s="12"/>
      <c r="H15" s="13" t="e">
        <f>J15+L15+N15</f>
        <v>#N/A</v>
      </c>
      <c r="I15" s="12"/>
      <c r="J15" s="13" t="e">
        <f>IF(G6="2020 Fall Quarter or Later",(VLOOKUP(J9,Data1!K2:M21,3,FALSE)),(VLOOKUP(J9,Data1!F2:H21,3,FALSE)))</f>
        <v>#N/A</v>
      </c>
      <c r="K15" s="12"/>
      <c r="L15" s="13" t="e">
        <f>IF(G6="2020 Fall Quarter or Later",(VLOOKUP(L9,Data1!K2:M21,3,FALSE)),(VLOOKUP(L9,Data1!F2:H21,3,FALSE)))</f>
        <v>#N/A</v>
      </c>
      <c r="M15" s="13"/>
      <c r="N15" s="13" t="e">
        <f>IF(G6="2020 Fall Quarter or Later",(VLOOKUP(N9,Data1!K2:M21,3,FALSE)),(VLOOKUP(N9,Data1!F2:H21,3,FALSE)))</f>
        <v>#N/A</v>
      </c>
      <c r="O15" s="12"/>
    </row>
    <row r="16" spans="2:15" ht="21.75" customHeight="1" x14ac:dyDescent="0.25">
      <c r="B16" s="48" t="s">
        <v>17</v>
      </c>
      <c r="C16" s="48"/>
      <c r="H16" s="5" t="e">
        <f>J16+L16+N16</f>
        <v>#N/A</v>
      </c>
      <c r="J16" s="5" t="e">
        <f>IF(J9&lt;&gt;"not enrolled",(VLOOKUP(J9,Data1!F2:I21,4,FALSE)),0)</f>
        <v>#N/A</v>
      </c>
      <c r="L16" s="5" t="e">
        <f>IF(L9&lt;&gt;"not enrolled",(VLOOKUP(L9,Data1!F2:I21,4,FALSE)),0)</f>
        <v>#N/A</v>
      </c>
      <c r="N16" s="5" t="e">
        <f>IF(N9&lt;&gt;"not enrolled",(VLOOKUP(N9,Data1!F2:I21,4,FALSE)),0)</f>
        <v>#N/A</v>
      </c>
    </row>
    <row r="17" spans="2:15" ht="21.75" customHeight="1" x14ac:dyDescent="0.25">
      <c r="B17" s="88" t="s">
        <v>65</v>
      </c>
      <c r="C17" s="88"/>
      <c r="D17" s="88"/>
      <c r="E17" s="89"/>
      <c r="F17" s="35"/>
      <c r="G17" s="33"/>
      <c r="H17" s="34">
        <f>J17+L17+N17</f>
        <v>0</v>
      </c>
      <c r="I17" s="33"/>
      <c r="J17" s="34">
        <f>IF(AND(F17="Yes", J9&lt;&gt;"not enrolled"), (VLOOKUP(F17, Data1!A24:C25, 2, FALSE)), 0)</f>
        <v>0</v>
      </c>
      <c r="K17" s="33"/>
      <c r="L17" s="34">
        <v>0</v>
      </c>
      <c r="M17" s="34"/>
      <c r="N17" s="34">
        <f>IF(AND(F17="Yes", N9&lt;&gt;"not enrolled"), (VLOOKUP(F17, Data1!A24:C25, 2, FALSE)), 0)</f>
        <v>0</v>
      </c>
      <c r="O17" s="33"/>
    </row>
    <row r="18" spans="2:15" s="29" customFormat="1" ht="21.75" customHeight="1" x14ac:dyDescent="0.25">
      <c r="B18" s="90" t="s">
        <v>64</v>
      </c>
      <c r="C18" s="90"/>
      <c r="D18" s="90"/>
      <c r="E18" s="91"/>
      <c r="F18" s="60"/>
      <c r="G18" s="36"/>
      <c r="H18" s="37">
        <f>J18+L18+N18</f>
        <v>0</v>
      </c>
      <c r="I18" s="36"/>
      <c r="J18" s="37">
        <f>IF(AND(F18="Yes", J9&lt;&gt;"not enrolled",J9&lt;&gt;"4 credits",J9&lt;&gt;"5 credits"), (VLOOKUP(F18,Data1!A24:C25, 3, FALSE)), 0)</f>
        <v>0</v>
      </c>
      <c r="K18" s="36"/>
      <c r="L18" s="37">
        <f>IF(AND(F18="Yes", L9&lt;&gt;"not enrolled",L9&lt;&gt;"4 credits",L9&lt;&gt;"5 credits"), (VLOOKUP(F18, Data1!A24:C25, 3, FALSE)), 0)</f>
        <v>0</v>
      </c>
      <c r="M18" s="37"/>
      <c r="N18" s="37">
        <f>IF(AND(F18="Yes", N9&lt;&gt;"not enrolled",N9&lt;&gt;"4 credits",N9&lt;&gt;"5 credits"), (VLOOKUP(F18, Data1!A24:C25, 3, FALSE)), 0)</f>
        <v>0</v>
      </c>
      <c r="O18" s="36"/>
    </row>
    <row r="19" spans="2:15" ht="21.75" customHeight="1" x14ac:dyDescent="0.25">
      <c r="D19" s="9" t="s">
        <v>6</v>
      </c>
      <c r="H19" s="10" t="e">
        <f>SUM(H13, H15:H18)</f>
        <v>#N/A</v>
      </c>
      <c r="J19" s="10" t="e">
        <f>SUM(J13,J15:J18)</f>
        <v>#N/A</v>
      </c>
      <c r="L19" s="10" t="e">
        <f>SUM(L13,L15:L18)</f>
        <v>#N/A</v>
      </c>
      <c r="M19" s="10"/>
      <c r="N19" s="10" t="e">
        <f>SUM(N13,N15:N18)</f>
        <v>#N/A</v>
      </c>
    </row>
    <row r="20" spans="2:15" ht="24" customHeight="1" x14ac:dyDescent="0.25"/>
    <row r="21" spans="2:15" ht="15.75" thickBot="1" x14ac:dyDescent="0.3">
      <c r="B21" s="1" t="s">
        <v>11</v>
      </c>
      <c r="C21" s="1"/>
      <c r="D21" s="2"/>
      <c r="E21" s="2"/>
      <c r="F21" s="2"/>
      <c r="G21" s="2"/>
      <c r="H21" s="4" t="s">
        <v>3</v>
      </c>
      <c r="I21" s="3"/>
      <c r="J21" s="4" t="s">
        <v>100</v>
      </c>
      <c r="K21" s="3"/>
      <c r="L21" s="4" t="s">
        <v>97</v>
      </c>
      <c r="M21" s="4"/>
      <c r="N21" s="4" t="s">
        <v>98</v>
      </c>
      <c r="O21" s="2"/>
    </row>
    <row r="22" spans="2:15" ht="21.75" customHeight="1" x14ac:dyDescent="0.25">
      <c r="B22" t="s">
        <v>16</v>
      </c>
      <c r="H22" s="17"/>
      <c r="J22" s="5">
        <f>IF((AND(J9&lt;&gt;"not enrolled", L9&lt;&gt;"not enrolled", N9&lt;&gt;"not enrolled")), (H22/3), IF((AND(J9&lt;&gt;"not enrolled", L9&lt;&gt;"not enrolled", N9="not enrolled")), (H22/2), IF((AND(J9&lt;&gt;"not enrolled", L9="not enrolled", N9="not enrolled")), (H22/1), 0)))</f>
        <v>0</v>
      </c>
      <c r="L22" s="5">
        <f>IF((AND(J9&lt;&gt;"not enrolled", L9&lt;&gt;"not enrolled", N9&lt;&gt;"not enrolled")), (H22/3), IF((AND(J9&lt;&gt;"not enrolled", L9&lt;&gt;"not enrolled", N9="not enrolled")), (H22/2), IF((AND(J9="not enrolled", L9&lt;&gt;"not enrolled", N9&lt;&gt;"not enrolled")), (H22/2), 0)))</f>
        <v>0</v>
      </c>
      <c r="N22" s="5">
        <f>IF((AND(J9&lt;&gt;"not enrolled", L9&lt;&gt;"not enrolled", N9&lt;&gt;"not enrolled")), (H22/3), IF((AND(J9="not enrolled", L9&lt;&gt;"not enrolled", N9&lt;&gt;"not enrolled")), (H22/2), IF((AND(J9="not enrolled", L9="not enrolled", N9&lt;&gt;"not enrolled")), (H22), 0)))</f>
        <v>0</v>
      </c>
    </row>
    <row r="23" spans="2:15" ht="21.75" customHeight="1" x14ac:dyDescent="0.25">
      <c r="B23" s="12" t="s">
        <v>8</v>
      </c>
      <c r="C23" s="12"/>
      <c r="D23" s="12"/>
      <c r="E23" s="12"/>
      <c r="F23" s="12"/>
      <c r="G23" s="12"/>
      <c r="H23" s="18"/>
      <c r="I23" s="12"/>
      <c r="J23" s="13">
        <f>IF((AND(J9&lt;&gt;"not enrolled", L9&lt;&gt;"not enrolled", N9&lt;&gt;"not enrolled")), (H23/3), IF((AND(J9&lt;&gt;"not enrolled", L9&lt;&gt;"not enrolled", N9="not enrolled")), (H23/2), IF((AND(J9&lt;&gt;"not enrolled", L9="not enrolled", N9="not enrolled")), (H23/1), 0)))</f>
        <v>0</v>
      </c>
      <c r="K23" s="12"/>
      <c r="L23" s="13">
        <f>IF((AND(J9&lt;&gt;"not enrolled", L9&lt;&gt;"not enrolled", N9&lt;&gt;"not enrolled")), (H23/3), IF((AND(J9&lt;&gt;"not enrolled", L9&lt;&gt;"not enrolled", N9="not enrolled")), (H23/2), IF((AND(J9="not enrolled", L9&lt;&gt;"not enrolled", N9&lt;&gt;"not enrolled")), (H23/2), 0)))</f>
        <v>0</v>
      </c>
      <c r="M23" s="13"/>
      <c r="N23" s="13">
        <f>IF((AND(J9&lt;&gt;"not enrolled", L9&lt;&gt;"not enrolled", N9&lt;&gt;"not enrolled")), (H23/3), IF((AND(J9="not enrolled", L9&lt;&gt;"not enrolled", N9&lt;&gt;"not enrolled")), (H23/2), IF((AND(J9="not enrolled", L9="not enrolled", N9&lt;&gt;"not enrolled")), (H23), 0)))</f>
        <v>0</v>
      </c>
      <c r="O23" s="12"/>
    </row>
    <row r="24" spans="2:15" ht="21.75" customHeight="1" x14ac:dyDescent="0.25">
      <c r="B24" t="s">
        <v>19</v>
      </c>
      <c r="F24" s="19"/>
      <c r="H24" s="5">
        <f>SUM(J24,L24,N24)</f>
        <v>0</v>
      </c>
      <c r="J24" s="5">
        <f>IF((AND(J9&lt;&gt;"not enrolled", L9&lt;&gt;"not enrolled", N9&lt;&gt;"not enrolled")), ROUND(((F24-(F24*0.01057))/3),0), IF((AND(J9&lt;&gt;"not enrolled", L9&lt;&gt;"not enrolled", N9="not enrolled")), ROUND(((F24-(F24*0.01057))/2),0), IF((AND(J9&lt;&gt;"not enrolled", L9="not enrolled", N9="not enrolled")), ROUND(((F24-(F24*0.01057))/1),0), 0)))</f>
        <v>0</v>
      </c>
      <c r="L24" s="5">
        <f>IF((AND(J9&lt;&gt;"not enrolled", L9&lt;&gt;"not enrolled", N9&lt;&gt;"not enrolled")), ROUND(((F24-(F24*0.01057))/3),0), IF((AND(J9&lt;&gt;"not enrolled", L9&lt;&gt;"not enrolled", N9="not enrolled")), ROUND(((F24-(F24*0.01057))/2),0), IF((AND(J9="not enrolled", L9&lt;&gt;"not enrolled", N9&lt;&gt;"not enrolled")), ROUND(((F24-(F24*0.01057))/2),0), 0)))</f>
        <v>0</v>
      </c>
      <c r="N24" s="5">
        <f>IF((AND(J9&lt;&gt;"not enrolled", L9&lt;&gt;"not enrolled", N9&lt;&gt;"not enrolled")), ROUND(((F24-(F24*0.01057))/3),0), IF((AND(J9="not enrolled", L9&lt;&gt;"not enrolled", N9&lt;&gt;"not enrolled")), ROUND(((F24-(F24*0.01057))/2),0), IF((AND(J9="not enrolled", L9="not enrolled", N9&lt;&gt;"not enrolled")), ROUND(((F24-(F24*0.01057))/1),0), 0)))</f>
        <v>0</v>
      </c>
    </row>
    <row r="25" spans="2:15" ht="21.75" customHeight="1" x14ac:dyDescent="0.25">
      <c r="B25" s="12" t="s">
        <v>20</v>
      </c>
      <c r="C25" s="12"/>
      <c r="D25" s="12"/>
      <c r="E25" s="12"/>
      <c r="F25" s="19"/>
      <c r="G25" s="12"/>
      <c r="H25" s="13">
        <f>SUM(J25,L25,N25)</f>
        <v>0</v>
      </c>
      <c r="I25" s="12"/>
      <c r="J25" s="13">
        <f>IF((AND(J9&lt;&gt;"not enrolled", L9&lt;&gt;"not enrolled", N9&lt;&gt;"not enrolled")), ROUND(((F25-(F25*0.04228))/3),0), IF((AND(J9&lt;&gt;"not enrolled", L9&lt;&gt;"not enrolled", N9="not enrolled")), ROUND(((F25-(F25*0.04228))/2),0), IF((AND(J9&lt;&gt;"not enrolled", L9="not enrolled", N9="not enrolled")), ROUND(((F25-(F25*0.04228))/1),0), 0)))</f>
        <v>0</v>
      </c>
      <c r="K25" s="12"/>
      <c r="L25" s="13">
        <f>IF((AND(J9&lt;&gt;"not enrolled", L9&lt;&gt;"not enrolled", N9&lt;&gt;"not enrolled")), ROUND(((F25-(F25*0.04228))/3),0), IF((AND(J9&lt;&gt;"not enrolled", L9&lt;&gt;"not enrolled", N9="not enrolled")), ROUND(((F25-(F25*0.04228))/2),0), IF((AND(J9="not enrolled", L9&lt;&gt;"not enrolled", N9&lt;&gt;"not enrolled")), ROUND(((F25-(F25*0.04228))/2),0), 0)))</f>
        <v>0</v>
      </c>
      <c r="M25" s="13"/>
      <c r="N25" s="13">
        <f>IF((AND(J9&lt;&gt;"not enrolled", L9&lt;&gt;"not enrolled", N9&lt;&gt;"not enrolled")), ROUND(((F25-(F25*0.04228))/3),0), IF((AND(J9="not enrolled", L9&lt;&gt;"not enrolled", N9&lt;&gt;"not enrolled")), ROUND(((F25-(F25*0.04228))/2),0), IF((AND(J9="not enrolled", L9="not enrolled", N9&lt;&gt;"not enrolled")), ROUND(((F25-(F25*0.04228))/1),0), 0)))</f>
        <v>0</v>
      </c>
      <c r="O25" s="12"/>
    </row>
    <row r="26" spans="2:15" ht="21.75" customHeight="1" x14ac:dyDescent="0.25">
      <c r="B26" s="81" t="s">
        <v>29</v>
      </c>
      <c r="C26" s="81"/>
      <c r="D26" s="81"/>
      <c r="E26" s="81"/>
      <c r="F26" s="81"/>
      <c r="H26" s="18"/>
      <c r="J26" s="5">
        <f>IF((AND(J9&lt;&gt;"not enrolled", L9&lt;&gt;"not enrolled", N9&lt;&gt;"not enrolled")), (H26/3), IF((AND(J9&lt;&gt;"not enrolled", L9&lt;&gt;"not enrolled", N9="not enrolled")), (H26/2), IF((AND(J9&lt;&gt;"not enrolled", L9="not enrolled", N9="not enrolled")), (H26/1), 0)))</f>
        <v>0</v>
      </c>
      <c r="L26" s="5">
        <f>IF((AND(J9&lt;&gt;"not enrolled", L9&lt;&gt;"not enrolled", N9&lt;&gt;"not enrolled")), (H26/3), IF((AND(J9&lt;&gt;"not enrolled", L9&lt;&gt;"not enrolled", N9="not enrolled")), (H26/2), IF((AND(J9="not enrolled", L9&lt;&gt;"not enrolled", N9&lt;&gt;"not enrolled")), (H26/2), 0)))</f>
        <v>0</v>
      </c>
      <c r="N26" s="5">
        <f>IF((AND(J9&lt;&gt;"not enrolled", L9&lt;&gt;"not enrolled", N9&lt;&gt;"not enrolled")), (H26/3), IF((AND(J9="not enrolled", L9&lt;&gt;"not enrolled", N9&lt;&gt;"not enrolled")), (H26/2), IF((AND(J9="not enrolled", L9="not enrolled", N9&lt;&gt;"not enrolled")), (H26), 0)))</f>
        <v>0</v>
      </c>
    </row>
    <row r="27" spans="2:15" ht="21.75" customHeight="1" x14ac:dyDescent="0.25">
      <c r="B27" s="87" t="s">
        <v>30</v>
      </c>
      <c r="C27" s="87"/>
      <c r="D27" s="87"/>
      <c r="E27" s="87"/>
      <c r="F27" s="87"/>
      <c r="G27" s="87"/>
      <c r="H27" s="31">
        <f>J27+L27+N27</f>
        <v>0</v>
      </c>
      <c r="I27" s="30"/>
      <c r="J27" s="20"/>
      <c r="K27" s="30"/>
      <c r="L27" s="20"/>
      <c r="M27" s="38"/>
      <c r="N27" s="68"/>
      <c r="O27" s="30"/>
    </row>
    <row r="28" spans="2:15" ht="21.75" customHeight="1" x14ac:dyDescent="0.25">
      <c r="D28" s="9" t="s">
        <v>10</v>
      </c>
      <c r="H28" s="5">
        <f>SUM(H22:H27)</f>
        <v>0</v>
      </c>
      <c r="J28" s="5">
        <f>SUM(J22:J27)</f>
        <v>0</v>
      </c>
      <c r="L28" s="5">
        <f>SUM(L22:L26,L27)</f>
        <v>0</v>
      </c>
      <c r="N28" s="5">
        <f>SUM(N22:N26,N27)</f>
        <v>0</v>
      </c>
    </row>
    <row r="29" spans="2:15" ht="15.75" thickBot="1" x14ac:dyDescent="0.3"/>
    <row r="30" spans="2:15" ht="21.75" customHeight="1" thickTop="1" thickBot="1" x14ac:dyDescent="0.35">
      <c r="B30" s="16" t="s">
        <v>12</v>
      </c>
      <c r="C30" s="16"/>
      <c r="D30" s="15"/>
      <c r="E30" s="15"/>
      <c r="F30" s="15"/>
      <c r="G30" s="15"/>
      <c r="H30" s="27" t="e">
        <f>H19-H28</f>
        <v>#N/A</v>
      </c>
      <c r="I30" s="28"/>
      <c r="J30" s="27" t="e">
        <f>J19-J28</f>
        <v>#N/A</v>
      </c>
      <c r="K30" s="28"/>
      <c r="L30" s="27" t="e">
        <f>L19-L28</f>
        <v>#N/A</v>
      </c>
      <c r="M30" s="27"/>
      <c r="N30" s="27" t="e">
        <f>N19-N28</f>
        <v>#N/A</v>
      </c>
      <c r="O30" s="15"/>
    </row>
    <row r="31" spans="2:15" ht="15.75" thickTop="1" x14ac:dyDescent="0.25"/>
    <row r="32" spans="2:15" x14ac:dyDescent="0.25">
      <c r="B32" s="9" t="s">
        <v>13</v>
      </c>
      <c r="C32" s="9"/>
    </row>
    <row r="33" spans="2:15" ht="21.75" customHeight="1" x14ac:dyDescent="0.25">
      <c r="B33" s="67">
        <v>1</v>
      </c>
      <c r="C33" s="65" t="str">
        <f>IF(G6="2020 Fall Quarter or Later",Data1!O2,Data1!O3)</f>
        <v>Tuition for the 2023-2024 academic year is $1,612 per credit. If enrolled in 12-18 credits, tuition will be charged a flat rate of $19,344.</v>
      </c>
      <c r="D33" s="66"/>
      <c r="E33" s="66"/>
      <c r="F33" s="66"/>
      <c r="G33" s="66"/>
      <c r="H33" s="66"/>
      <c r="I33" s="66"/>
      <c r="J33" s="66"/>
      <c r="K33" s="66"/>
      <c r="L33" s="66"/>
      <c r="M33" s="66"/>
      <c r="N33" s="66"/>
      <c r="O33" s="66"/>
    </row>
    <row r="34" spans="2:15" ht="18" customHeight="1" x14ac:dyDescent="0.25">
      <c r="B34" s="64">
        <v>2</v>
      </c>
      <c r="C34" s="65" t="s">
        <v>66</v>
      </c>
      <c r="D34" s="65"/>
      <c r="E34" s="65"/>
      <c r="F34" s="65"/>
      <c r="G34" s="65"/>
      <c r="H34" s="65"/>
      <c r="I34" s="65"/>
      <c r="J34" s="65"/>
      <c r="K34" s="65"/>
      <c r="L34" s="65"/>
      <c r="M34" s="65"/>
      <c r="N34" s="65"/>
      <c r="O34" s="65"/>
    </row>
    <row r="35" spans="2:15" ht="18" customHeight="1" x14ac:dyDescent="0.25">
      <c r="B35" s="64">
        <v>3</v>
      </c>
      <c r="C35" t="s">
        <v>83</v>
      </c>
    </row>
    <row r="36" spans="2:15" ht="46.5" customHeight="1" x14ac:dyDescent="0.25">
      <c r="B36" s="63">
        <v>4</v>
      </c>
      <c r="C36" s="82" t="s">
        <v>84</v>
      </c>
      <c r="D36" s="82"/>
      <c r="E36" s="82"/>
      <c r="F36" s="82"/>
      <c r="G36" s="82"/>
      <c r="H36" s="82"/>
      <c r="I36" s="82"/>
      <c r="J36" s="82"/>
      <c r="K36" s="82"/>
      <c r="L36" s="82"/>
      <c r="M36" s="82"/>
      <c r="N36" s="82"/>
      <c r="O36" s="82"/>
    </row>
    <row r="37" spans="2:15" ht="21.75" customHeight="1" x14ac:dyDescent="0.25"/>
    <row r="39" spans="2:15" x14ac:dyDescent="0.25">
      <c r="B39" s="77" t="s">
        <v>14</v>
      </c>
      <c r="C39" s="77"/>
      <c r="D39" s="77"/>
      <c r="E39" s="77"/>
      <c r="F39" s="77"/>
      <c r="G39" s="77"/>
      <c r="H39" s="77"/>
      <c r="I39" s="77"/>
      <c r="J39" s="77"/>
      <c r="K39" s="77"/>
      <c r="L39" s="77"/>
      <c r="M39" s="77"/>
      <c r="N39" s="77"/>
      <c r="O39" s="77"/>
    </row>
  </sheetData>
  <sheetProtection algorithmName="SHA-512" hashValue="xeLcXsO0bGwXEEe2X+C1CvvaD3B3LQcPtt/Wlh65SKTyquGYMoNAGiabUUmyDa1wp6oSFZJad9YA74Ss5WKnPQ==" saltValue="7+uklnuTddo1W+7Z/cVPXQ==" spinCount="100000" sheet="1" objects="1" scenarios="1" selectLockedCells="1"/>
  <mergeCells count="9">
    <mergeCell ref="H2:O2"/>
    <mergeCell ref="G6:H6"/>
    <mergeCell ref="D13:E13"/>
    <mergeCell ref="B39:O39"/>
    <mergeCell ref="B17:E17"/>
    <mergeCell ref="B18:E18"/>
    <mergeCell ref="B26:F26"/>
    <mergeCell ref="B27:G27"/>
    <mergeCell ref="C36:O36"/>
  </mergeCells>
  <hyperlinks>
    <hyperlink ref="B17" r:id="rId1" display="Will you enroll in DU's health insurance plan?" xr:uid="{00000000-0004-0000-0200-000000000000}"/>
    <hyperlink ref="B18" r:id="rId2" display="Will you use DU Health &amp; Counseling Services? " xr:uid="{00000000-0004-0000-02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Data1!$F$2:$F$21</xm:f>
          </x14:formula1>
          <xm:sqref>N9 J9 L9</xm:sqref>
        </x14:dataValidation>
        <x14:dataValidation type="list" allowBlank="1" showInputMessage="1" showErrorMessage="1" xr:uid="{00000000-0002-0000-0200-000001000000}">
          <x14:formula1>
            <xm:f>Data1!$A$27:$A$28</xm:f>
          </x14:formula1>
          <xm:sqref>G6:H6</xm:sqref>
        </x14:dataValidation>
        <x14:dataValidation type="list" allowBlank="1" showInputMessage="1" showErrorMessage="1" xr:uid="{00000000-0002-0000-0200-000002000000}">
          <x14:formula1>
            <xm:f>Data1!$A$24:$A$25</xm:f>
          </x14:formula1>
          <xm:sqref>F17:F18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36"/>
  <sheetViews>
    <sheetView showGridLines="0" showRowColHeaders="0" showRuler="0" zoomScaleNormal="100" workbookViewId="0">
      <selection activeCell="I6" sqref="I6"/>
    </sheetView>
  </sheetViews>
  <sheetFormatPr defaultColWidth="8.85546875" defaultRowHeight="15" x14ac:dyDescent="0.25"/>
  <cols>
    <col min="1" max="1" width="4.140625" customWidth="1"/>
    <col min="4" max="4" width="26.140625" customWidth="1"/>
    <col min="5" max="5" width="11.42578125" bestFit="1" customWidth="1"/>
    <col min="7" max="7" width="13.140625" style="5" customWidth="1"/>
    <col min="8" max="8" width="4.7109375" customWidth="1"/>
    <col min="9" max="9" width="13.42578125" style="5" customWidth="1"/>
    <col min="10" max="10" width="4.7109375" customWidth="1"/>
    <col min="11" max="11" width="13.42578125" style="5" customWidth="1"/>
    <col min="12" max="12" width="4.7109375" style="5" customWidth="1"/>
    <col min="13" max="13" width="13.42578125" style="5" customWidth="1"/>
    <col min="14" max="14" width="3.42578125" customWidth="1"/>
  </cols>
  <sheetData>
    <row r="1" spans="2:14" ht="17.25" customHeight="1" x14ac:dyDescent="0.25"/>
    <row r="2" spans="2:14" ht="47.25" customHeight="1" x14ac:dyDescent="0.25">
      <c r="F2" s="83" t="s">
        <v>103</v>
      </c>
      <c r="G2" s="83"/>
      <c r="H2" s="83"/>
      <c r="I2" s="83"/>
      <c r="J2" s="83"/>
      <c r="K2" s="83"/>
      <c r="L2" s="83"/>
      <c r="M2" s="83"/>
      <c r="N2" s="83"/>
    </row>
    <row r="3" spans="2:14" ht="8.25" customHeight="1" x14ac:dyDescent="0.25">
      <c r="B3" s="21"/>
      <c r="C3" s="21"/>
      <c r="D3" s="21"/>
      <c r="E3" s="21"/>
      <c r="F3" s="21"/>
      <c r="G3" s="22"/>
      <c r="H3" s="23"/>
      <c r="I3" s="23"/>
      <c r="J3" s="23"/>
      <c r="K3" s="23"/>
      <c r="L3" s="23"/>
      <c r="M3" s="23"/>
      <c r="N3" s="23"/>
    </row>
    <row r="4" spans="2:14" ht="12" customHeight="1" x14ac:dyDescent="0.25">
      <c r="B4" s="85"/>
      <c r="C4" s="85"/>
      <c r="D4" s="85"/>
      <c r="E4" s="85"/>
      <c r="F4" s="85"/>
      <c r="G4" s="85"/>
      <c r="H4" s="85"/>
      <c r="I4" s="85"/>
      <c r="J4" s="85"/>
      <c r="K4" s="85"/>
      <c r="L4" s="85"/>
      <c r="M4" s="85"/>
      <c r="N4" s="85"/>
    </row>
    <row r="5" spans="2:14" ht="19.5" customHeight="1" x14ac:dyDescent="0.25">
      <c r="I5" s="59" t="s">
        <v>99</v>
      </c>
      <c r="K5" s="59" t="s">
        <v>95</v>
      </c>
      <c r="M5" s="59" t="s">
        <v>96</v>
      </c>
    </row>
    <row r="6" spans="2:14" ht="18" customHeight="1" x14ac:dyDescent="0.3">
      <c r="C6" s="6" t="s">
        <v>15</v>
      </c>
      <c r="D6" s="32"/>
      <c r="E6" s="32"/>
      <c r="F6" s="32"/>
      <c r="G6" s="32"/>
      <c r="H6" s="32"/>
      <c r="I6" s="58"/>
      <c r="K6" s="58"/>
      <c r="L6" s="24"/>
      <c r="M6" s="58"/>
      <c r="N6" s="32"/>
    </row>
    <row r="7" spans="2:14" ht="6" customHeight="1" x14ac:dyDescent="0.25"/>
    <row r="8" spans="2:14" ht="15.75" thickBot="1" x14ac:dyDescent="0.3">
      <c r="B8" s="1" t="s">
        <v>7</v>
      </c>
      <c r="C8" s="2"/>
      <c r="D8" s="2"/>
      <c r="E8" s="2"/>
      <c r="F8" s="2"/>
      <c r="G8" s="4" t="s">
        <v>3</v>
      </c>
      <c r="H8" s="3"/>
      <c r="I8" s="4" t="s">
        <v>100</v>
      </c>
      <c r="J8" s="3"/>
      <c r="K8" s="4" t="s">
        <v>97</v>
      </c>
      <c r="L8" s="4"/>
      <c r="M8" s="4" t="s">
        <v>98</v>
      </c>
      <c r="N8" s="2"/>
    </row>
    <row r="9" spans="2:14" ht="9" customHeight="1" x14ac:dyDescent="0.25"/>
    <row r="10" spans="2:14" ht="21.75" customHeight="1" x14ac:dyDescent="0.25">
      <c r="B10" s="11" t="s">
        <v>1</v>
      </c>
      <c r="C10" s="86"/>
      <c r="D10" s="86"/>
      <c r="E10" s="12"/>
      <c r="F10" s="12"/>
      <c r="G10" s="13" t="e">
        <f>I10+K10+M10</f>
        <v>#N/A</v>
      </c>
      <c r="H10" s="12"/>
      <c r="I10" s="13" t="e">
        <f>VLOOKUP(I6,Data1!E24:G41, 3, FALSE)</f>
        <v>#N/A</v>
      </c>
      <c r="J10" s="12"/>
      <c r="K10" s="13" t="e">
        <f>VLOOKUP(K6,Data1!E24:G41, 3, FALSE)</f>
        <v>#N/A</v>
      </c>
      <c r="L10" s="13"/>
      <c r="M10" s="13" t="e">
        <f>VLOOKUP(M6,Data1!E24:G41, 3, FALSE)</f>
        <v>#N/A</v>
      </c>
      <c r="N10" s="12"/>
    </row>
    <row r="11" spans="2:14" ht="21.75" customHeight="1" x14ac:dyDescent="0.25">
      <c r="B11" s="76" t="s">
        <v>0</v>
      </c>
    </row>
    <row r="12" spans="2:14" ht="21.75" customHeight="1" x14ac:dyDescent="0.25">
      <c r="B12" s="14" t="s">
        <v>2</v>
      </c>
      <c r="C12" s="12"/>
      <c r="D12" s="12"/>
      <c r="E12" s="12"/>
      <c r="F12" s="12"/>
      <c r="G12" s="13" t="e">
        <f>I12+K12+M12</f>
        <v>#N/A</v>
      </c>
      <c r="H12" s="12"/>
      <c r="I12" s="13" t="e">
        <f>VLOOKUP(I6,Data1!E24:H41, 4, FALSE)</f>
        <v>#N/A</v>
      </c>
      <c r="J12" s="12"/>
      <c r="K12" s="13" t="e">
        <f>VLOOKUP(K6, Data1!E24:H41, 4, FALSE)</f>
        <v>#N/A</v>
      </c>
      <c r="L12" s="13"/>
      <c r="M12" s="13" t="e">
        <f>VLOOKUP(M6, Data1!E24:H41, 4, FALSE)</f>
        <v>#N/A</v>
      </c>
      <c r="N12" s="12"/>
    </row>
    <row r="13" spans="2:14" ht="21.75" customHeight="1" x14ac:dyDescent="0.25">
      <c r="B13" s="48" t="s">
        <v>17</v>
      </c>
      <c r="G13" s="5" t="e">
        <f>I13+K13+M13</f>
        <v>#N/A</v>
      </c>
      <c r="I13" s="5" t="e">
        <f>VLOOKUP(I6,Data1!E24:I41, 5, FALSE)</f>
        <v>#N/A</v>
      </c>
      <c r="K13" s="5" t="e">
        <f>VLOOKUP(K6, Data1!E24:I41, 5, FALSE)</f>
        <v>#N/A</v>
      </c>
      <c r="M13" s="5" t="e">
        <f>VLOOKUP(M6, Data1!A2:D21, 4, FALSE)</f>
        <v>#N/A</v>
      </c>
    </row>
    <row r="14" spans="2:14" ht="21.75" customHeight="1" x14ac:dyDescent="0.25">
      <c r="B14" s="88" t="s">
        <v>65</v>
      </c>
      <c r="C14" s="88"/>
      <c r="D14" s="89"/>
      <c r="E14" s="35"/>
      <c r="F14" s="33"/>
      <c r="G14" s="34">
        <f>I14+K14+M14</f>
        <v>0</v>
      </c>
      <c r="H14" s="33"/>
      <c r="I14" s="34">
        <f>IF(AND(E14="Yes", I6&lt;&gt;"not enrolled"), (VLOOKUP(E14,Data1!A24:C25, 2, FALSE)), 0)</f>
        <v>0</v>
      </c>
      <c r="J14" s="33"/>
      <c r="K14" s="34">
        <v>0</v>
      </c>
      <c r="L14" s="34"/>
      <c r="M14" s="34">
        <f>IF(AND(E14="Yes", M6&lt;&gt;"not enrolled"), (VLOOKUP(E14,Data1!A24:C25, 2, FALSE)), 0)</f>
        <v>0</v>
      </c>
      <c r="N14" s="33"/>
    </row>
    <row r="15" spans="2:14" s="29" customFormat="1" ht="21.75" customHeight="1" x14ac:dyDescent="0.25">
      <c r="B15" s="90" t="s">
        <v>64</v>
      </c>
      <c r="C15" s="90"/>
      <c r="D15" s="91"/>
      <c r="E15" s="60"/>
      <c r="F15" s="36"/>
      <c r="G15" s="37">
        <f>I15+K15+M15</f>
        <v>0</v>
      </c>
      <c r="H15" s="36"/>
      <c r="I15" s="37">
        <f>IF(AND(E15="Yes", I6&lt;&gt;"not enrolled",I6&lt;&gt;"4 credits",I6&lt;&gt;"5 credits"), (VLOOKUP(E15,Data1!A24:C25, 3, FALSE)), 0)</f>
        <v>0</v>
      </c>
      <c r="J15" s="36"/>
      <c r="K15" s="37">
        <f>IF(AND(E15="Yes", K6&lt;&gt;"not enrolled",K6&lt;&gt;"4 credits",K6&lt;&gt;"5 credits"), (VLOOKUP(E15, Data1!A24:C25, 3, FALSE)), 0)</f>
        <v>0</v>
      </c>
      <c r="L15" s="37"/>
      <c r="M15" s="37">
        <f>IF(AND(E15="Yes", M6&lt;&gt;"not enrolled",M6&lt;&gt;"4 credits",M6&lt;&gt;"5 credits"), (VLOOKUP(E15,Data1!A24:C25, 3, FALSE)), 0)</f>
        <v>0</v>
      </c>
      <c r="N15" s="36"/>
    </row>
    <row r="16" spans="2:14" ht="21.75" customHeight="1" x14ac:dyDescent="0.25">
      <c r="C16" s="9" t="s">
        <v>6</v>
      </c>
      <c r="G16" s="10" t="e">
        <f>SUM(G10, G12:G15)</f>
        <v>#N/A</v>
      </c>
      <c r="I16" s="10" t="e">
        <f>SUM(I10,I12:I15)</f>
        <v>#N/A</v>
      </c>
      <c r="K16" s="10" t="e">
        <f>SUM(K10,K12:K15)</f>
        <v>#N/A</v>
      </c>
      <c r="L16" s="10"/>
      <c r="M16" s="10" t="e">
        <f>SUM(M10,M12:M15)</f>
        <v>#N/A</v>
      </c>
    </row>
    <row r="17" spans="2:15" ht="24" customHeight="1" x14ac:dyDescent="0.25"/>
    <row r="18" spans="2:15" ht="15.75" thickBot="1" x14ac:dyDescent="0.3">
      <c r="B18" s="1" t="s">
        <v>11</v>
      </c>
      <c r="C18" s="2"/>
      <c r="D18" s="2"/>
      <c r="E18" s="2"/>
      <c r="F18" s="2"/>
      <c r="G18" s="4" t="s">
        <v>3</v>
      </c>
      <c r="H18" s="3"/>
      <c r="I18" s="4" t="s">
        <v>100</v>
      </c>
      <c r="J18" s="3"/>
      <c r="K18" s="4" t="s">
        <v>97</v>
      </c>
      <c r="L18" s="4"/>
      <c r="M18" s="4" t="s">
        <v>98</v>
      </c>
      <c r="N18" s="2"/>
    </row>
    <row r="19" spans="2:15" ht="21.75" customHeight="1" x14ac:dyDescent="0.25">
      <c r="B19" t="s">
        <v>16</v>
      </c>
      <c r="G19" s="17"/>
      <c r="I19" s="5">
        <f>IF((AND(I6&lt;&gt;"not enrolled", K6&lt;&gt;"not enrolled", M6&lt;&gt;"not enrolled")), (G19/3), IF((AND(I6&lt;&gt;"not enrolled", K6&lt;&gt;"not enrolled", M6="not enrolled")), (G19/2), IF((AND(I6&lt;&gt;"not enrolled", K6="not enrolled", M6="not enrolled")), (G19/1), 0)))</f>
        <v>0</v>
      </c>
      <c r="K19" s="5">
        <f>IF((AND(I6&lt;&gt;"not enrolled", K6&lt;&gt;"not enrolled", M6&lt;&gt;"not enrolled")), (G19/3), IF((AND(I6&lt;&gt;"not enrolled", K6&lt;&gt;"not enrolled", M6="not enrolled")), (G19/2), IF((AND(I6="not enrolled", K6&lt;&gt;"not enrolled", M6&lt;&gt;"not enrolled")), (G19/2), 0)))</f>
        <v>0</v>
      </c>
      <c r="M19" s="5">
        <f>IF((AND(I6&lt;&gt;"not enrolled", K6&lt;&gt;"not enrolled", M6&lt;&gt;"not enrolled")), (G19/3), IF((AND(I6="not enrolled", K6&lt;&gt;"not enrolled", M6&lt;&gt;"not enrolled")), (G19/2), IF((AND(I6="not enrolled", K6="not enrolled", M6&lt;&gt;"not enrolled")), (G19), 0)))</f>
        <v>0</v>
      </c>
    </row>
    <row r="20" spans="2:15" ht="21.75" customHeight="1" x14ac:dyDescent="0.25">
      <c r="B20" s="12" t="s">
        <v>8</v>
      </c>
      <c r="C20" s="12"/>
      <c r="D20" s="12"/>
      <c r="E20" s="12"/>
      <c r="F20" s="12"/>
      <c r="G20" s="18"/>
      <c r="H20" s="12"/>
      <c r="I20" s="13">
        <f>IF((AND(I6&lt;&gt;"not enrolled", K6&lt;&gt;"not enrolled", M6&lt;&gt;"not enrolled")), (G20/3), IF((AND(I6&lt;&gt;"not enrolled", K6&lt;&gt;"not enrolled", M6="not enrolled")), (G20/2), IF((AND(I6&lt;&gt;"not enrolled", K6="not enrolled", M6="not enrolled")), (G20/1), 0)))</f>
        <v>0</v>
      </c>
      <c r="J20" s="12"/>
      <c r="K20" s="13">
        <f>IF((AND(I6&lt;&gt;"not enrolled", K6&lt;&gt;"not enrolled", M6&lt;&gt;"not enrolled")), (G20/3), IF((AND(I6&lt;&gt;"not enrolled", K6&lt;&gt;"not enrolled", M6="not enrolled")), (G20/2), IF((AND(I6="not enrolled", K6&lt;&gt;"not enrolled", M6&lt;&gt;"not enrolled")), (G20/2), 0)))</f>
        <v>0</v>
      </c>
      <c r="L20" s="13"/>
      <c r="M20" s="13">
        <f>IF((AND(I6&lt;&gt;"not enrolled", K6&lt;&gt;"not enrolled", M6&lt;&gt;"not enrolled")), (G20/3), IF((AND(I6="not enrolled", K6&lt;&gt;"not enrolled", M6&lt;&gt;"not enrolled")), (G20/2), IF((AND(I6="not enrolled", K6="not enrolled", M6&lt;&gt;"not enrolled")), (G20), 0)))</f>
        <v>0</v>
      </c>
      <c r="N20" s="12"/>
    </row>
    <row r="21" spans="2:15" ht="21.75" customHeight="1" x14ac:dyDescent="0.25">
      <c r="B21" t="s">
        <v>19</v>
      </c>
      <c r="E21" s="19"/>
      <c r="G21" s="5">
        <f>SUM(I21,K21,M21)</f>
        <v>0</v>
      </c>
      <c r="I21" s="5">
        <f>IF((AND(I6&lt;&gt;"not enrolled", K6&lt;&gt;"not enrolled", M6&lt;&gt;"not enrolled")), ROUND(((E21-(E21*0.01057))/3),0), IF((AND(I6&lt;&gt;"not enrolled", K6&lt;&gt;"not enrolled", M6="not enrolled")), ROUND(((E21-(E21*0.01057))/2),0), IF((AND(I6&lt;&gt;"not enrolled", K6="not enrolled", M6="not enrolled")), ROUND(((E21-(E21*0.01057))/1),0), 0)))</f>
        <v>0</v>
      </c>
      <c r="K21" s="5">
        <f>IF((AND(I6&lt;&gt;"not enrolled", K6&lt;&gt;"not enrolled", M6&lt;&gt;"not enrolled")), ROUND(((E21-(E21*0.01057))/3),0), IF((AND(I6&lt;&gt;"not enrolled", K6&lt;&gt;"not enrolled", M6="not enrolled")), ROUND(((E21-(E21*0.01057))/2),0), IF((AND(I6="not enrolled", K6&lt;&gt;"not enrolled", M6&lt;&gt;"not enrolled")), ROUND(((E21-(E21*0.01057))/2),0), 0)))</f>
        <v>0</v>
      </c>
      <c r="M21" s="5">
        <f>IF((AND(I6&lt;&gt;"not enrolled", K6&lt;&gt;"not enrolled", M6&lt;&gt;"not enrolled")), ROUND(((E21-(E21*0.01057))/3),0), IF((AND(I6="not enrolled", K6&lt;&gt;"not enrolled", M6&lt;&gt;"not enrolled")), ROUND(((E21-(E21*0.01057))/2),0), IF((AND(I6="not enrolled", K6="not enrolled", M6&lt;&gt;"not enrolled")), ROUND(((E21-(E21*0.01057))/1),0), 0)))</f>
        <v>0</v>
      </c>
    </row>
    <row r="22" spans="2:15" ht="21.75" customHeight="1" x14ac:dyDescent="0.25">
      <c r="B22" s="12" t="s">
        <v>20</v>
      </c>
      <c r="C22" s="12"/>
      <c r="D22" s="12"/>
      <c r="E22" s="19"/>
      <c r="F22" s="12"/>
      <c r="G22" s="13">
        <f>SUM(I22,K22,M22)</f>
        <v>0</v>
      </c>
      <c r="H22" s="12"/>
      <c r="I22" s="13">
        <f>IF((AND(I6&lt;&gt;"not enrolled", K6&lt;&gt;"not enrolled", M6&lt;&gt;"not enrolled")), ROUND(((E22-(E22*0.04228))/3),0), IF((AND(I6&lt;&gt;"not enrolled", K6&lt;&gt;"not enrolled", M6="not enrolled")), ROUND(((E22-(E22*0.04228))/2),0), IF((AND(I6&lt;&gt;"not enrolled", K6="not enrolled", M6="not enrolled")), ROUND(((E22-(E22*0.04228))/1),0), 0)))</f>
        <v>0</v>
      </c>
      <c r="J22" s="12"/>
      <c r="K22" s="13">
        <f>IF((AND(I6&lt;&gt;"not enrolled", K6&lt;&gt;"not enrolled", M6&lt;&gt;"not enrolled")), ROUND(((E22-(E22*0.04228))/3),0), IF((AND(I6&lt;&gt;"not enrolled", K6&lt;&gt;"not enrolled", M6="not enrolled")), ROUND(((E22-(E22*0.04228))/2),0), IF((AND(I6="not enrolled", K6&lt;&gt;"not enrolled", M6&lt;&gt;"not enrolled")), ROUND(((E22-(E22*0.04228))/2),0), 0)))</f>
        <v>0</v>
      </c>
      <c r="L22" s="13"/>
      <c r="M22" s="13">
        <f>IF((AND(I6&lt;&gt;"not enrolled", K6&lt;&gt;"not enrolled", M6&lt;&gt;"not enrolled")), ROUND(((E22-(E22*0.04228))/3),0), IF((AND(I6="not enrolled", K6&lt;&gt;"not enrolled", M6&lt;&gt;"not enrolled")), ROUND(((E22-(E22*0.04228))/2),0), IF((AND(I6="not enrolled", K6="not enrolled", M6&lt;&gt;"not enrolled")), ROUND(((E22-(E22*0.04228))/1),0), 0)))</f>
        <v>0</v>
      </c>
      <c r="N22" s="12"/>
    </row>
    <row r="23" spans="2:15" ht="21.75" customHeight="1" x14ac:dyDescent="0.25">
      <c r="B23" s="81" t="s">
        <v>29</v>
      </c>
      <c r="C23" s="81"/>
      <c r="D23" s="81"/>
      <c r="E23" s="81"/>
      <c r="G23" s="18"/>
      <c r="I23" s="5">
        <f>IF((AND(I6&lt;&gt;"not enrolled", K6&lt;&gt;"not enrolled", M6&lt;&gt;"not enrolled")), (G23/3), IF((AND(I6&lt;&gt;"not enrolled", K6&lt;&gt;"not enrolled", M6="not enrolled")), (G23/2), IF((AND(I6&lt;&gt;"not enrolled", K6="not enrolled", M6="not enrolled")), (G23/1), 0)))</f>
        <v>0</v>
      </c>
      <c r="K23" s="5">
        <f>IF((AND(I6&lt;&gt;"not enrolled", K6&lt;&gt;"not enrolled", M6&lt;&gt;"not enrolled")), (G23/3), IF((AND(I6&lt;&gt;"not enrolled", K6&lt;&gt;"not enrolled", M6="not enrolled")), (G23/2), IF((AND(I6="not enrolled", K6&lt;&gt;"not enrolled", M6&lt;&gt;"not enrolled")), (G23/2), 0)))</f>
        <v>0</v>
      </c>
      <c r="M23" s="5">
        <f>IF((AND(I6&lt;&gt;"not enrolled", K6&lt;&gt;"not enrolled", M6&lt;&gt;"not enrolled")), (G23/3), IF((AND(I6="not enrolled", K6&lt;&gt;"not enrolled", M6&lt;&gt;"not enrolled")), (G23/2), IF((AND(I6="not enrolled", K6="not enrolled", M6&lt;&gt;"not enrolled")), (G23), 0)))</f>
        <v>0</v>
      </c>
    </row>
    <row r="24" spans="2:15" ht="21.75" customHeight="1" x14ac:dyDescent="0.25">
      <c r="B24" s="87" t="s">
        <v>30</v>
      </c>
      <c r="C24" s="87"/>
      <c r="D24" s="87"/>
      <c r="E24" s="87"/>
      <c r="F24" s="87"/>
      <c r="G24" s="31">
        <f>I24+K24+M24</f>
        <v>0</v>
      </c>
      <c r="H24" s="30"/>
      <c r="I24" s="20"/>
      <c r="J24" s="30"/>
      <c r="K24" s="20"/>
      <c r="L24" s="38"/>
      <c r="M24" s="26"/>
      <c r="N24" s="30"/>
    </row>
    <row r="25" spans="2:15" ht="21.75" customHeight="1" x14ac:dyDescent="0.25">
      <c r="C25" s="9" t="s">
        <v>10</v>
      </c>
      <c r="G25" s="5">
        <f>SUM(G19:G24)</f>
        <v>0</v>
      </c>
      <c r="I25" s="5">
        <f>SUM(I19:I24)</f>
        <v>0</v>
      </c>
      <c r="K25" s="5">
        <f>SUM(K19:K23,K24)</f>
        <v>0</v>
      </c>
      <c r="M25" s="5">
        <f>SUM(M19:M23,M24)</f>
        <v>0</v>
      </c>
    </row>
    <row r="26" spans="2:15" ht="15.75" thickBot="1" x14ac:dyDescent="0.3"/>
    <row r="27" spans="2:15" ht="21.75" customHeight="1" thickTop="1" thickBot="1" x14ac:dyDescent="0.35">
      <c r="B27" s="16" t="s">
        <v>12</v>
      </c>
      <c r="C27" s="15"/>
      <c r="D27" s="15"/>
      <c r="E27" s="15"/>
      <c r="F27" s="15"/>
      <c r="G27" s="27" t="e">
        <f>G16-G25</f>
        <v>#N/A</v>
      </c>
      <c r="H27" s="28"/>
      <c r="I27" s="27" t="e">
        <f>I16-I25</f>
        <v>#N/A</v>
      </c>
      <c r="J27" s="28"/>
      <c r="K27" s="27" t="e">
        <f>K16-K25</f>
        <v>#N/A</v>
      </c>
      <c r="L27" s="27"/>
      <c r="M27" s="27" t="e">
        <f>M16-M25</f>
        <v>#N/A</v>
      </c>
      <c r="N27" s="15"/>
    </row>
    <row r="28" spans="2:15" ht="15.75" thickTop="1" x14ac:dyDescent="0.25"/>
    <row r="29" spans="2:15" x14ac:dyDescent="0.25">
      <c r="B29" s="9" t="s">
        <v>13</v>
      </c>
    </row>
    <row r="30" spans="2:15" ht="21.75" customHeight="1" x14ac:dyDescent="0.25">
      <c r="B30" s="84" t="s">
        <v>104</v>
      </c>
      <c r="C30" s="82"/>
      <c r="D30" s="82"/>
      <c r="E30" s="82"/>
      <c r="F30" s="82"/>
      <c r="G30" s="82"/>
      <c r="H30" s="82"/>
      <c r="I30" s="82"/>
      <c r="J30" s="82"/>
      <c r="K30" s="82"/>
      <c r="L30" s="82"/>
      <c r="M30" s="82"/>
      <c r="N30" s="82"/>
      <c r="O30" s="82"/>
    </row>
    <row r="31" spans="2:15" ht="21.75" customHeight="1" x14ac:dyDescent="0.25">
      <c r="B31" s="81" t="s">
        <v>18</v>
      </c>
      <c r="C31" s="81"/>
      <c r="D31" s="81"/>
      <c r="E31" s="81"/>
      <c r="F31" s="81"/>
      <c r="G31" s="81"/>
      <c r="H31" s="81"/>
      <c r="I31" s="81"/>
      <c r="J31" s="81"/>
      <c r="K31" s="81"/>
      <c r="L31" s="81"/>
      <c r="M31" s="81"/>
      <c r="N31" s="81"/>
    </row>
    <row r="32" spans="2:15" ht="21.75" customHeight="1" x14ac:dyDescent="0.25">
      <c r="B32" t="s">
        <v>81</v>
      </c>
    </row>
    <row r="33" spans="2:14" ht="51" customHeight="1" x14ac:dyDescent="0.25">
      <c r="B33" s="82" t="s">
        <v>82</v>
      </c>
      <c r="C33" s="82"/>
      <c r="D33" s="82"/>
      <c r="E33" s="82"/>
      <c r="F33" s="82"/>
      <c r="G33" s="82"/>
      <c r="H33" s="82"/>
      <c r="I33" s="82"/>
      <c r="J33" s="82"/>
      <c r="K33" s="82"/>
      <c r="L33" s="82"/>
      <c r="M33" s="82"/>
      <c r="N33" s="82"/>
    </row>
    <row r="34" spans="2:14" ht="21.75" customHeight="1" x14ac:dyDescent="0.25"/>
    <row r="36" spans="2:14" x14ac:dyDescent="0.25">
      <c r="B36" s="77" t="s">
        <v>14</v>
      </c>
      <c r="C36" s="77"/>
      <c r="D36" s="77"/>
      <c r="E36" s="77"/>
      <c r="F36" s="77"/>
      <c r="G36" s="77"/>
      <c r="H36" s="77"/>
      <c r="I36" s="77"/>
      <c r="J36" s="77"/>
      <c r="K36" s="77"/>
      <c r="L36" s="77"/>
      <c r="M36" s="77"/>
      <c r="N36" s="77"/>
    </row>
  </sheetData>
  <sheetProtection algorithmName="SHA-512" hashValue="4e09A+GdBgtXht0az02+MuXreZ6sD2+OL9JK2jmoVK6hlkNdKS2JD20rFjNH9ZqCrPZRMzzsUZ740sFCs2HxwA==" saltValue="e/sPEHoXy5iGP6meUAyfRQ==" spinCount="100000" sheet="1" objects="1" scenarios="1" selectLockedCells="1"/>
  <mergeCells count="11">
    <mergeCell ref="B23:E23"/>
    <mergeCell ref="F2:N2"/>
    <mergeCell ref="B4:N4"/>
    <mergeCell ref="C10:D10"/>
    <mergeCell ref="B14:D14"/>
    <mergeCell ref="B15:D15"/>
    <mergeCell ref="B24:F24"/>
    <mergeCell ref="B30:O30"/>
    <mergeCell ref="B31:N31"/>
    <mergeCell ref="B33:N33"/>
    <mergeCell ref="B36:N36"/>
  </mergeCells>
  <hyperlinks>
    <hyperlink ref="B14" r:id="rId1" display="Will you enroll in DU's health insurance plan?" xr:uid="{00000000-0004-0000-0300-000000000000}"/>
    <hyperlink ref="B15" r:id="rId2" display="Will you use DU Health &amp; Counseling Services? " xr:uid="{00000000-0004-0000-03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Data1!$A$24:$A$25</xm:f>
          </x14:formula1>
          <xm:sqref>E14:E15</xm:sqref>
        </x14:dataValidation>
        <x14:dataValidation type="list" allowBlank="1" showInputMessage="1" showErrorMessage="1" xr:uid="{00000000-0002-0000-0300-000001000000}">
          <x14:formula1>
            <xm:f>Data1!$A$2:$A$21</xm:f>
          </x14:formula1>
          <xm:sqref>M6 I6 K6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36"/>
  <sheetViews>
    <sheetView showGridLines="0" showRowColHeaders="0" showRuler="0" zoomScaleNormal="100" workbookViewId="0">
      <selection activeCell="F5" sqref="F5:H5"/>
    </sheetView>
  </sheetViews>
  <sheetFormatPr defaultColWidth="8.85546875" defaultRowHeight="15" x14ac:dyDescent="0.25"/>
  <cols>
    <col min="1" max="1" width="4.140625" customWidth="1"/>
    <col min="4" max="4" width="26.140625"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78" t="s">
        <v>107</v>
      </c>
      <c r="H2" s="78"/>
      <c r="I2" s="78"/>
      <c r="J2" s="78"/>
      <c r="K2" s="78"/>
      <c r="L2" s="78"/>
      <c r="M2" s="78"/>
      <c r="N2" s="78"/>
      <c r="O2" s="78"/>
    </row>
    <row r="3" spans="2:15" ht="8.25" customHeight="1" x14ac:dyDescent="0.25">
      <c r="B3" s="21"/>
      <c r="C3" s="21"/>
      <c r="D3" s="21"/>
      <c r="E3" s="21"/>
      <c r="F3" s="21"/>
      <c r="G3" s="22"/>
      <c r="H3" s="23"/>
      <c r="I3" s="23"/>
      <c r="J3" s="23"/>
      <c r="K3" s="23"/>
      <c r="L3" s="23"/>
      <c r="M3" s="23"/>
      <c r="N3" s="23"/>
      <c r="O3" s="23"/>
    </row>
    <row r="4" spans="2:15" ht="9.75" customHeight="1" x14ac:dyDescent="0.25"/>
    <row r="5" spans="2:15" ht="18" customHeight="1" x14ac:dyDescent="0.3">
      <c r="B5" s="6" t="s">
        <v>21</v>
      </c>
      <c r="D5" s="32"/>
      <c r="E5" s="32"/>
      <c r="F5" s="96"/>
      <c r="G5" s="97"/>
      <c r="H5" s="97"/>
      <c r="I5" s="74"/>
    </row>
    <row r="6" spans="2:15" ht="9.75" customHeight="1" x14ac:dyDescent="0.25"/>
    <row r="7" spans="2:15" ht="15" customHeight="1" x14ac:dyDescent="0.25">
      <c r="I7" s="75" t="s">
        <v>99</v>
      </c>
      <c r="J7" s="40"/>
      <c r="K7" s="75" t="s">
        <v>95</v>
      </c>
      <c r="L7" s="41"/>
      <c r="M7" s="75" t="s">
        <v>96</v>
      </c>
      <c r="N7" s="41"/>
      <c r="O7" s="75" t="s">
        <v>105</v>
      </c>
    </row>
    <row r="8" spans="2:15" ht="18" customHeight="1" x14ac:dyDescent="0.3">
      <c r="C8" s="6" t="s">
        <v>52</v>
      </c>
      <c r="E8" s="32"/>
      <c r="F8" s="32"/>
      <c r="G8" s="32"/>
      <c r="H8" s="32"/>
      <c r="I8" s="71"/>
      <c r="K8" s="72"/>
      <c r="L8"/>
      <c r="M8" s="73"/>
      <c r="N8"/>
      <c r="O8" s="73"/>
    </row>
    <row r="9" spans="2:15" ht="18.75" customHeight="1" x14ac:dyDescent="0.25"/>
    <row r="10" spans="2:15" ht="15.75" thickBot="1" x14ac:dyDescent="0.3">
      <c r="B10" s="1" t="s">
        <v>7</v>
      </c>
      <c r="C10" s="2"/>
      <c r="D10" s="2"/>
      <c r="E10" s="2"/>
      <c r="F10" s="2"/>
      <c r="G10" s="4" t="s">
        <v>3</v>
      </c>
      <c r="H10" s="3"/>
      <c r="I10" s="4" t="s">
        <v>100</v>
      </c>
      <c r="J10" s="3"/>
      <c r="K10" s="4" t="s">
        <v>97</v>
      </c>
      <c r="L10" s="4"/>
      <c r="M10" s="4" t="s">
        <v>98</v>
      </c>
      <c r="N10" s="4"/>
      <c r="O10" s="4" t="s">
        <v>106</v>
      </c>
    </row>
    <row r="11" spans="2:15" ht="9" customHeight="1" x14ac:dyDescent="0.25"/>
    <row r="12" spans="2:15" ht="21.75" customHeight="1" x14ac:dyDescent="0.25">
      <c r="B12" s="11" t="s">
        <v>1</v>
      </c>
      <c r="C12" s="86"/>
      <c r="D12" s="86"/>
      <c r="E12" s="12"/>
      <c r="F12" s="12"/>
      <c r="G12" s="13">
        <f>I12+K12+M12+O12</f>
        <v>0</v>
      </c>
      <c r="H12" s="12"/>
      <c r="I12" s="13">
        <f>IF((OR(F5="Prior to 2020 Fall Quarter")), (VLOOKUP(I8, Data1!K24:L41, 2, FALSE)), IF((OR(F5="2020 Fall Quarter or Later")), (VLOOKUP(I8, Data1!K24:M41, 3, FALSE)), 0))</f>
        <v>0</v>
      </c>
      <c r="J12" s="12"/>
      <c r="K12" s="13">
        <f>IF((OR(F5="Prior to 2020 Fall Quarter")), (VLOOKUP(K8, Data1!K24:L41, 2, FALSE)), IF((OR(F5="2020 Fall Quarter or Later")), (VLOOKUP(K8, Data1!K24:M41, 3, FALSE)), 0))</f>
        <v>0</v>
      </c>
      <c r="L12" s="13"/>
      <c r="M12" s="13">
        <f>IF((OR(F5="Prior to 2020 Fall Quarter")), (VLOOKUP(M8, Data1!K24:L41, 2, FALSE)), IF((OR(F5="2020 Fall Quarter or Later")), (VLOOKUP(M8, Data1!K24:M41, 3, FALSE)), 0))</f>
        <v>0</v>
      </c>
      <c r="N12" s="13"/>
      <c r="O12" s="13">
        <f>IF((OR(F5="Prior to 2020 Fall Quarter")), (VLOOKUP(O8, Data1!K24:L41, 2, FALSE)), IF((OR(F5="2020 Fall Quarter or Later")), (VLOOKUP(O8, Data1!K24:M41, 3, FALSE)), 0))</f>
        <v>0</v>
      </c>
    </row>
    <row r="13" spans="2:15" ht="21.75" customHeight="1" x14ac:dyDescent="0.25">
      <c r="B13" s="42" t="s">
        <v>2</v>
      </c>
      <c r="C13" s="43"/>
      <c r="D13" s="43"/>
      <c r="E13" s="43"/>
      <c r="F13" s="43"/>
      <c r="G13" s="44" t="e">
        <f>I13+K13+M13+O13</f>
        <v>#N/A</v>
      </c>
      <c r="H13" s="43"/>
      <c r="I13" s="44" t="e">
        <f>VLOOKUP(I8,Data1!K24:N41,4,FALSE)</f>
        <v>#N/A</v>
      </c>
      <c r="J13" s="43"/>
      <c r="K13" s="44" t="e">
        <f>VLOOKUP(K8,Data1!K24:N41,4,FALSE)</f>
        <v>#N/A</v>
      </c>
      <c r="L13" s="44"/>
      <c r="M13" s="44" t="e">
        <f>VLOOKUP(M8,Data1!K24:N41,4,FALSE)</f>
        <v>#N/A</v>
      </c>
      <c r="N13" s="44"/>
      <c r="O13" s="44" t="e">
        <f>VLOOKUP(O8,Data1!K24:N41,4,FALSE)</f>
        <v>#N/A</v>
      </c>
    </row>
    <row r="14" spans="2:15" ht="21.75" customHeight="1" x14ac:dyDescent="0.25">
      <c r="B14" s="88" t="s">
        <v>65</v>
      </c>
      <c r="C14" s="88"/>
      <c r="D14" s="89"/>
      <c r="E14" s="35"/>
      <c r="F14" s="33"/>
      <c r="G14" s="34">
        <f>I14+K14+M14+O14</f>
        <v>0</v>
      </c>
      <c r="H14" s="33"/>
      <c r="I14" s="34">
        <f>IF(AND(I8&lt;&gt;"not enrolled", E14="Yes"), (VLOOKUP(E14, Data1!A24:C25, 2, FALSE)), 0)</f>
        <v>0</v>
      </c>
      <c r="J14" s="33"/>
      <c r="K14" s="34">
        <v>0</v>
      </c>
      <c r="L14" s="34"/>
      <c r="M14" s="34">
        <f>IF(AND(M8&lt;&gt;"not enrolled", E14="Yes"), (VLOOKUP(E14, Data1!A24:C25, 2, FALSE)), 0)</f>
        <v>0</v>
      </c>
      <c r="N14" s="33"/>
      <c r="O14" s="45">
        <v>0</v>
      </c>
    </row>
    <row r="15" spans="2:15" s="29" customFormat="1" ht="21.75" customHeight="1" x14ac:dyDescent="0.25">
      <c r="B15" s="90" t="s">
        <v>64</v>
      </c>
      <c r="C15" s="90"/>
      <c r="D15" s="91"/>
      <c r="E15" s="60"/>
      <c r="F15" s="36"/>
      <c r="G15" s="37">
        <f>I15+K15+M15+O15</f>
        <v>0</v>
      </c>
      <c r="H15" s="36"/>
      <c r="I15" s="37">
        <f>IF(AND(I8&lt;&gt;"not enrolled",I8&lt;&gt;"4 credits",I8&lt;&gt;"5 credits", E15="Yes"), (VLOOKUP(E15, Data1!A24:C25, 3, FALSE)), 0)</f>
        <v>0</v>
      </c>
      <c r="J15" s="36"/>
      <c r="K15" s="37">
        <f>IF(AND(K8&lt;&gt;"not enrolled",K8&lt;&gt;"4 credits",K8&lt;&gt;"5 credits", E15="Yes"), (VLOOKUP(E15, Data1!A24:C25, 3, FALSE)), 0)</f>
        <v>0</v>
      </c>
      <c r="L15" s="37"/>
      <c r="M15" s="37">
        <f>IF(AND(M8&lt;&gt;"not enrolled",M8&lt;&gt;"4 credits",M8&lt;&gt;"5 credits", E15="Yes"), (VLOOKUP(E15,Data1!A24:C25, 3, FALSE)), 0)</f>
        <v>0</v>
      </c>
      <c r="N15" s="36"/>
      <c r="O15" s="46">
        <f>IF(AND(O8&lt;&gt;"not enrolled",O8&lt;&gt;"4 credits",O8&lt;&gt;"5 credits", E15="Yes"), (VLOOKUP(E15, Data1!A24:C25, 3, FALSE)), 0)</f>
        <v>0</v>
      </c>
    </row>
    <row r="16" spans="2:15" ht="21.75" customHeight="1" x14ac:dyDescent="0.25">
      <c r="C16" s="9" t="s">
        <v>6</v>
      </c>
      <c r="G16" s="10" t="e">
        <f>SUM(G12:G15)</f>
        <v>#N/A</v>
      </c>
      <c r="I16" s="10" t="e">
        <f>SUM(I12:I15)</f>
        <v>#N/A</v>
      </c>
      <c r="K16" s="10" t="e">
        <f>SUM(K12:K15)</f>
        <v>#N/A</v>
      </c>
      <c r="L16" s="10"/>
      <c r="M16" s="10" t="e">
        <f>SUM(M12:M15)</f>
        <v>#N/A</v>
      </c>
      <c r="N16" s="10"/>
      <c r="O16" s="10" t="e">
        <f>SUM(O12:O15)</f>
        <v>#N/A</v>
      </c>
    </row>
    <row r="17" spans="2:15" ht="24" customHeight="1" x14ac:dyDescent="0.25"/>
    <row r="18" spans="2:15" ht="15.75" thickBot="1" x14ac:dyDescent="0.3">
      <c r="B18" s="1" t="s">
        <v>11</v>
      </c>
      <c r="C18" s="2"/>
      <c r="D18" s="2"/>
      <c r="E18" s="2"/>
      <c r="F18" s="2"/>
      <c r="G18" s="4" t="s">
        <v>3</v>
      </c>
      <c r="H18" s="3"/>
      <c r="I18" s="4" t="s">
        <v>100</v>
      </c>
      <c r="J18" s="3"/>
      <c r="K18" s="4" t="s">
        <v>97</v>
      </c>
      <c r="L18" s="4"/>
      <c r="M18" s="4" t="s">
        <v>98</v>
      </c>
      <c r="N18" s="4"/>
      <c r="O18" s="4" t="s">
        <v>106</v>
      </c>
    </row>
    <row r="19" spans="2:15" ht="21.75" customHeight="1" x14ac:dyDescent="0.25">
      <c r="B19" t="s">
        <v>16</v>
      </c>
      <c r="G19" s="17"/>
      <c r="I19" s="5">
        <f>IF((AND(I8&lt;&gt;"not enrolled",K8&lt;&gt;"not enrolled",M8&lt;&gt;"not enrolled",O8&lt;&gt;"not enrolled")),(G19/4), IF((AND(I8&lt;&gt;"not enrolled",K8&lt;&gt;"not enrolled",M8&lt;&gt;"not enrolled",O8="not enrolled")),(G19/3), IF((AND(I8&lt;&gt;"not enrolled",K8&lt;&gt;"not enrolled",M8="not enrolled",O8="not enrolled")),(G19/2), IF((AND(I8&lt;&gt;"not enrolled",K8="not enrolled",M8="not enrolled",O8="not enrolled")),(G19/1), 0))))</f>
        <v>0</v>
      </c>
      <c r="K19" s="5">
        <f>IF((AND(I8&lt;&gt;"not enrolled",K8&lt;&gt;"not enrolled",M8&lt;&gt;"not enrolled",O8&lt;&gt;"not enrolled")),(G19/4), IF((AND(I8&lt;&gt;"not enrolled",K8&lt;&gt;"not enrolled",M8&lt;&gt;"not enrolled",O8="not enrolled")),(G19/3), IF((AND(I8="not enrolled",K8&lt;&gt;"not enrolled",M8&lt;&gt;"not enrolled",O8&lt;&gt;"not enrolled")),(G19/3), IF((AND(I8&lt;&gt;"not enrolled",K8&lt;&gt;"not enrolled",M8="not enrolled",O8="not enrolled")),(G19/2), 0))))</f>
        <v>0</v>
      </c>
      <c r="M19" s="5">
        <f>IF((AND(I8&lt;&gt;"not enrolled",K8&lt;&gt;"not enrolled",M8&lt;&gt;"not enrolled",O8&lt;&gt;"not enrolled")),(G19/4), IF((AND(I8&lt;&gt;"not enrolled",K8&lt;&gt;"not enrolled",M8&lt;&gt;"not enrolled",O8="not enrolled")),(G19/3), IF((AND(I8="not enrolled",K8&lt;&gt;"not enrolled",M8&lt;&gt;"not enrolled",O8&lt;&gt;"not enrolled")),(G19/3), IF((AND(I8="not enrolled",K8="not enrolled",M8&lt;&gt;"not enrolled",O8&lt;&gt;"not enrolled")),(G19/2), 0))))</f>
        <v>0</v>
      </c>
      <c r="O19" s="5">
        <f>IF((AND(I8&lt;&gt;"not enrolled",K8&lt;&gt;"not enrolled",M8&lt;&gt;"not enrolled",O8&lt;&gt;"not enrolled")),(G19/4), IF((AND(I8="not enrolled",K8&lt;&gt;"not enrolled",M8&lt;&gt;"not enrolled",O8&lt;&gt;"not enrolled")),(G19/3), IF((AND(I8="not enrolled",K8="not enrolled",M8&lt;&gt;"not enrolled",O8&lt;&gt;"not enrolled")),(G19/2),  IF((AND(I8="not enrolled",K8="not enrolled",M8="not enrolled",O8&lt;&gt;"not enrolled")),(G19), 0))))</f>
        <v>0</v>
      </c>
    </row>
    <row r="20" spans="2:15" ht="21.75" customHeight="1" x14ac:dyDescent="0.25">
      <c r="B20" s="12" t="s">
        <v>8</v>
      </c>
      <c r="C20" s="12"/>
      <c r="D20" s="12"/>
      <c r="E20" s="12"/>
      <c r="F20" s="12"/>
      <c r="G20" s="18"/>
      <c r="H20" s="12"/>
      <c r="I20" s="13">
        <f>IF((AND(I8&lt;&gt;"not enrolled",K8&lt;&gt;"not enrolled",M8&lt;&gt;"not enrolled",O8&lt;&gt;"not enrolled")),(G20/4), IF((AND(I8&lt;&gt;"not enrolled",K8&lt;&gt;"not enrolled",M8&lt;&gt;"not enrolled",O8="not enrolled")),(G20/3), IF((AND(I8&lt;&gt;"not enrolled",K8&lt;&gt;"not enrolled",M8="not enrolled",O8="not enrolled")),(G20/2), IF((AND(I8&lt;&gt;"not enrolled",K8="not enrolled",M8="not enrolled",O8="not enrolled")),(G20/1), 0))))</f>
        <v>0</v>
      </c>
      <c r="J20" s="12"/>
      <c r="K20" s="13">
        <f>IF((AND(I8&lt;&gt;"not enrolled",K8&lt;&gt;"not enrolled",M8&lt;&gt;"not enrolled",O8&lt;&gt;"not enrolled")),(G20/4), IF((AND(I8&lt;&gt;"not enrolled",K8&lt;&gt;"not enrolled",M8&lt;&gt;"not enrolled",O8="not enrolled")),(G20/3), IF((AND(I8="not enrolled",K8&lt;&gt;"not enrolled",M8&lt;&gt;"not enrolled",O8&lt;&gt;"not enrolled")),(G20/3), IF((AND(I8&lt;&gt;"not enrolled",K8&lt;&gt;"not enrolled",M8="not enrolled",O8="not enrolled")),(G20/2), 0))))</f>
        <v>0</v>
      </c>
      <c r="L20" s="13"/>
      <c r="M20" s="13">
        <f>IF((AND(I8&lt;&gt;"not enrolled",K8&lt;&gt;"not enrolled",M8&lt;&gt;"not enrolled",O8&lt;&gt;"not enrolled")),(G20/4), IF((AND(I8&lt;&gt;"not enrolled",K8&lt;&gt;"not enrolled",M8&lt;&gt;"not enrolled",O8="not enrolled")),(G20/3), IF((AND(I8="not enrolled",K8&lt;&gt;"not enrolled",M8&lt;&gt;"not enrolled",O8&lt;&gt;"not enrolled")),(G20/3), IF((AND(I8="not enrolled",K8="not enrolled",M8&lt;&gt;"not enrolled",O8&lt;&gt;"not enrolled")),(G20/2), 0))))</f>
        <v>0</v>
      </c>
      <c r="N20" s="13"/>
      <c r="O20" s="13">
        <f>IF((AND(I8&lt;&gt;"not enrolled",K8&lt;&gt;"not enrolled",M8&lt;&gt;"not enrolled",O8&lt;&gt;"not enrolled")),(G20/4), IF((AND(I8="not enrolled",K8&lt;&gt;"not enrolled",M8&lt;&gt;"not enrolled",O8&lt;&gt;"not enrolled")),(G20/3), IF((AND(I8="not enrolled",K8="not enrolled",M8&lt;&gt;"not enrolled",O8&lt;&gt;"not enrolled")),(G20/2),  IF((AND(I8="not enrolled",K8="not enrolled",M8="not enrolled",O8&lt;&gt;"not enrolled")),(G20), 0))))</f>
        <v>0</v>
      </c>
    </row>
    <row r="21" spans="2:15" ht="21.75" customHeight="1" x14ac:dyDescent="0.25">
      <c r="B21" t="s">
        <v>19</v>
      </c>
      <c r="E21" s="19"/>
      <c r="G21" s="5">
        <f>SUM(I21,K21,M21,O21)</f>
        <v>0</v>
      </c>
      <c r="I21" s="5">
        <f>IF((AND(I8&lt;&gt;"not enrolled",K8&lt;&gt;"not enrolled",M8&lt;&gt;"not enrolled",O8&lt;&gt;"not enrolled")), ROUND(((E21-(E21*0.01057))/4),0), IF((AND(I8&lt;&gt;"not enrolled",K8&lt;&gt;"not enrolled",M8&lt;&gt;"not enrolled",O8="not enrolled")),ROUND(((E21-(E21*0.01057))/3),0), IF((AND(I8&lt;&gt;"not enrolled",K8&lt;&gt;"not enrolled",M8="not enrolled",O8="not enrolled")),ROUND(((E21-(E21*0.01057))/2),0), IF((AND(I8&lt;&gt;"not enrolled",K8="not enrolled",M8="not enrolled",O8="not enrolled")),ROUND(((E21-(E21*0.01057))/1),0), 0))))</f>
        <v>0</v>
      </c>
      <c r="K21" s="5">
        <f>IF((AND(I8&lt;&gt;"not enrolled",K8&lt;&gt;"not enrolled",M8&lt;&gt;"not enrolled",O8&lt;&gt;"not enrolled")),ROUND(((E21-(E21*0.01057))/4),0), IF((AND(I8&lt;&gt;"not enrolled",K8&lt;&gt;"not enrolled",M8&lt;&gt;"not enrolled",O8="not enrolled")),ROUND(((E21-(E21*0.01057))/3),0), IF((AND(I8="not enrolled",K8&lt;&gt;"not enrolled",M8&lt;&gt;"not enrolled",O8&lt;&gt;"not enrolled")),ROUND(((E21-(E21*0.01057))/3),0), IF((AND(I8&lt;&gt;"not enrolled",K8&lt;&gt;"not enrolled",M8="not enrolled",O8="not enrolled")),ROUND(((E21-(E21*0.01057))/2),0), 0))))</f>
        <v>0</v>
      </c>
      <c r="M21" s="5">
        <f>IF((AND(I8&lt;&gt;"not enrolled",K8&lt;&gt;"not enrolled",M8&lt;&gt;"not enrolled",O8&lt;&gt;"not enrolled")),ROUND(((E21-(E21*0.01057))/4),0), IF((AND(I8&lt;&gt;"not enrolled",K8&lt;&gt;"not enrolled",M8&lt;&gt;"not enrolled",O8="not enrolled")),ROUND(((E21-(E21*0.01057))/3),0), IF((AND(I8="not enrolled",K8&lt;&gt;"not enrolled",M8&lt;&gt;"not enrolled",O8&lt;&gt;"not enrolled")),ROUND(((E21-(E21*0.01057))/3),0), IF((AND(I8="not enrolled",K8="not enrolled",M8&lt;&gt;"not enrolled",O8&lt;&gt;"not enrolled")),ROUND(((E21-(E21*0.01057))/2),0), 0))))</f>
        <v>0</v>
      </c>
      <c r="O21" s="5">
        <f>IF((AND(I8&lt;&gt;"not enrolled",K8&lt;&gt;"not enrolled",M8&lt;&gt;"not enrolled",O8&lt;&gt;"not enrolled")),ROUND(((E21-(E21*0.01057))/4),0), IF((AND(I8="not enrolled",K8&lt;&gt;"not enrolled",M8&lt;&gt;"not enrolled",O8&lt;&gt;"not enrolled")),ROUND(((E21-(E21*0.01057))/3),0), IF((AND(I8="not enrolled",K8="not enrolled",M8&lt;&gt;"not enrolled",O8&lt;&gt;"not enrolled")),ROUND(((E21-(E21*0.01057))/2),0),  IF((AND(I8="not enrolled",K8="not enrolled",M8="not enrolled",O8&lt;&gt;"not enrolled")),ROUND(((E21-(E21*0.01057))/1),0), 0))))</f>
        <v>0</v>
      </c>
    </row>
    <row r="22" spans="2:15" ht="21.75" customHeight="1" x14ac:dyDescent="0.25">
      <c r="B22" s="12" t="s">
        <v>20</v>
      </c>
      <c r="C22" s="12"/>
      <c r="D22" s="12"/>
      <c r="E22" s="19"/>
      <c r="F22" s="12"/>
      <c r="G22" s="13">
        <f>SUM(I22,K22,M22,O22)</f>
        <v>0</v>
      </c>
      <c r="H22" s="12"/>
      <c r="I22" s="13">
        <f>IF((AND(I8&lt;&gt;"not enrolled",K8&lt;&gt;"not enrolled",M8&lt;&gt;"not enrolled",O8&lt;&gt;"not enrolled")), ROUND(((E22-(E22*0.04228))/4),0), IF((AND(I8&lt;&gt;"not enrolled",K8&lt;&gt;"not enrolled",M8&lt;&gt;"not enrolled",O8="not enrolled")),ROUND(((E22-(E22*0.04228))/3),0), IF((AND(I8&lt;&gt;"not enrolled",K8&lt;&gt;"not enrolled",M8="not enrolled",O8="not enrolled")),ROUND(((E22-(E22*0.04228))/2),0), IF((AND(I8&lt;&gt;"not enrolled",K8="not enrolled",M8="not enrolled",O8="not enrolled")),ROUND(((E22-(E22*0.04228))/1),0), 0))))</f>
        <v>0</v>
      </c>
      <c r="J22" s="12"/>
      <c r="K22" s="13">
        <f>IF((AND(I8&lt;&gt;"not enrolled",K8&lt;&gt;"not enrolled",M8&lt;&gt;"not enrolled",O8&lt;&gt;"not enrolled")),ROUND(((E22-(E22*0.04228))/4),0), IF((AND(I8&lt;&gt;"not enrolled",K8&lt;&gt;"not enrolled",M8&lt;&gt;"not enrolled",O8="not enrolled")),ROUND(((E22-(E22*0.04228))/3),0), IF((AND(I8="not enrolled",K8&lt;&gt;"not enrolled",M8&lt;&gt;"not enrolled",O8&lt;&gt;"not enrolled")),ROUND(((E22-(E22*0.04228))/3),0), IF((AND(I8&lt;&gt;"not enrolled",K8&lt;&gt;"not enrolled",M8="not enrolled",O8="not enrolled")),ROUND(((E22-(E22*0.04228))/2),0), 0))))</f>
        <v>0</v>
      </c>
      <c r="L22" s="13"/>
      <c r="M22" s="13">
        <f>IF((AND(I8&lt;&gt;"not enrolled",K8&lt;&gt;"not enrolled",M8&lt;&gt;"not enrolled",O8&lt;&gt;"not enrolled")),ROUND(((E22-(E22*0.04228))/4),0), IF((AND(I8&lt;&gt;"not enrolled",K8&lt;&gt;"not enrolled",M8&lt;&gt;"not enrolled",O8="not enrolled")),ROUND(((E22-(E22*0.04228))/3),0), IF((AND(I8="not enrolled",K8&lt;&gt;"not enrolled",M8&lt;&gt;"not enrolled",O8&lt;&gt;"not enrolled")),ROUND(((E22-(E22*0.04228))/3),0), IF((AND(I8="not enrolled",K8="not enrolled",M8&lt;&gt;"not enrolled",O8&lt;&gt;"not enrolled")),ROUND(((E22-(E22*0.04228))/2),0), 0))))</f>
        <v>0</v>
      </c>
      <c r="N22" s="13"/>
      <c r="O22" s="13">
        <f>IF((AND(I8&lt;&gt;"not enrolled",K8&lt;&gt;"not enrolled",M8&lt;&gt;"not enrolled",O8&lt;&gt;"not enrolled")),ROUND(((E22-(E22*0.04228))/4),0), IF((AND(I8="not enrolled",K8&lt;&gt;"not enrolled",M8&lt;&gt;"not enrolled",O8&lt;&gt;"not enrolled")),ROUND(((E22-(E22*0.04228))/3),0), IF((AND(I8="not enrolled",K8="not enrolled",M8&lt;&gt;"not enrolled",O8&lt;&gt;"not enrolled")),ROUND(((E22-(E22*0.04228))/2),0),  IF((AND(I8="not enrolled",K8="not enrolled",M8="not enrolled",O8&lt;&gt;"not enrolled")),ROUND(((E22-(E22*0.04228))/1),0), 0))))</f>
        <v>0</v>
      </c>
    </row>
    <row r="23" spans="2:15" ht="21.75" customHeight="1" x14ac:dyDescent="0.25">
      <c r="B23" t="s">
        <v>9</v>
      </c>
      <c r="G23" s="18"/>
      <c r="I23" s="5">
        <f>IF((AND(I8&lt;&gt;"not enrolled",K8&lt;&gt;"not enrolled",M8&lt;&gt;"not enrolled",O8&lt;&gt;"not enrolled")),(G23/4), IF((AND(I8&lt;&gt;"not enrolled",K8&lt;&gt;"not enrolled",M8&lt;&gt;"not enrolled",O8="not enrolled")),(G23/3), IF((AND(I8&lt;&gt;"not enrolled",K8&lt;&gt;"not enrolled",M8="not enrolled",O8="not enrolled")),(G23/2), IF((AND(I8&lt;&gt;"not enrolled",K8="not enrolled",M8="not enrolled",O8="not enrolled")),(G23/1), 0))))</f>
        <v>0</v>
      </c>
      <c r="K23" s="5">
        <f>IF((AND(I8&lt;&gt;"not enrolled",K8&lt;&gt;"not enrolled",M8&lt;&gt;"not enrolled",O8&lt;&gt;"not enrolled")),(G23/4), IF((AND(I8&lt;&gt;"not enrolled",K8&lt;&gt;"not enrolled",M8&lt;&gt;"not enrolled",O8="not enrolled")),(G23/3), IF((AND(I8="not enrolled",K8&lt;&gt;"not enrolled",M8&lt;&gt;"not enrolled",O8&lt;&gt;"not enrolled")),(G23/3), IF((AND(I8&lt;&gt;"not enrolled",K8&lt;&gt;"not enrolled",M8="not enrolled",O8="not enrolled")),(G23/2), 0))))</f>
        <v>0</v>
      </c>
      <c r="M23" s="5">
        <f>IF((AND(I8&lt;&gt;"not enrolled",K8&lt;&gt;"not enrolled",M8&lt;&gt;"not enrolled",O8&lt;&gt;"not enrolled")),(G23/4), IF((AND(I8&lt;&gt;"not enrolled",K8&lt;&gt;"not enrolled",M8&lt;&gt;"not enrolled",O8="not enrolled")),(G23/3), IF((AND(I8="not enrolled",K8&lt;&gt;"not enrolled",M8&lt;&gt;"not enrolled",O8&lt;&gt;"not enrolled")),(G23/3), IF((AND(I8="not enrolled",K8="not enrolled",M8&lt;&gt;"not enrolled",O8&lt;&gt;"not enrolled")),(G23/2), 0))))</f>
        <v>0</v>
      </c>
      <c r="O23" s="5">
        <f>IF((AND(I8&lt;&gt;"not enrolled",K8&lt;&gt;"not enrolled",M8&lt;&gt;"not enrolled",O8&lt;&gt;"not enrolled")),(G23/4), IF((AND(I8="not enrolled",K8&lt;&gt;"not enrolled",M8&lt;&gt;"not enrolled",O8&lt;&gt;"not enrolled")),(G23/3), IF((AND(I8="not enrolled",K8="not enrolled",M8&lt;&gt;"not enrolled",O8&lt;&gt;"not enrolled")),(G23/2),  IF((AND(I8="not enrolled",K8="not enrolled",M8="not enrolled",O8&lt;&gt;"not enrolled")),(G23), 0))))</f>
        <v>0</v>
      </c>
    </row>
    <row r="24" spans="2:15" ht="21.75" customHeight="1" x14ac:dyDescent="0.25">
      <c r="B24" s="87" t="s">
        <v>30</v>
      </c>
      <c r="C24" s="87"/>
      <c r="D24" s="87"/>
      <c r="E24" s="87"/>
      <c r="F24" s="87"/>
      <c r="G24" s="31">
        <f>I24+K24+M24+O24</f>
        <v>0</v>
      </c>
      <c r="H24" s="30"/>
      <c r="I24" s="20"/>
      <c r="J24" s="30"/>
      <c r="K24" s="20"/>
      <c r="L24" s="38"/>
      <c r="M24" s="20"/>
      <c r="N24" s="38"/>
      <c r="O24" s="20"/>
    </row>
    <row r="25" spans="2:15" ht="21.75" customHeight="1" x14ac:dyDescent="0.25">
      <c r="C25" s="9" t="s">
        <v>10</v>
      </c>
      <c r="G25" s="5">
        <f>SUM(G19:G24)</f>
        <v>0</v>
      </c>
      <c r="I25" s="5">
        <f>SUM(I19:I24)</f>
        <v>0</v>
      </c>
      <c r="K25" s="5">
        <f>SUM(K19:K24)</f>
        <v>0</v>
      </c>
      <c r="M25" s="5">
        <f>SUM(M19:M24)</f>
        <v>0</v>
      </c>
      <c r="O25" s="5">
        <f>SUM(O19:O24)</f>
        <v>0</v>
      </c>
    </row>
    <row r="26" spans="2:15" ht="15.75" thickBot="1" x14ac:dyDescent="0.3"/>
    <row r="27" spans="2:15" ht="21.75" customHeight="1" thickTop="1" thickBot="1" x14ac:dyDescent="0.35">
      <c r="B27" s="16" t="s">
        <v>12</v>
      </c>
      <c r="C27" s="15"/>
      <c r="D27" s="15"/>
      <c r="E27" s="15"/>
      <c r="F27" s="15"/>
      <c r="G27" s="27" t="e">
        <f>G16-G25</f>
        <v>#N/A</v>
      </c>
      <c r="H27" s="28"/>
      <c r="I27" s="27" t="e">
        <f>I16-I25</f>
        <v>#N/A</v>
      </c>
      <c r="J27" s="28"/>
      <c r="K27" s="27" t="e">
        <f>K16-K25</f>
        <v>#N/A</v>
      </c>
      <c r="L27" s="27"/>
      <c r="M27" s="27" t="e">
        <f>M16-M25</f>
        <v>#N/A</v>
      </c>
      <c r="N27" s="27"/>
      <c r="O27" s="27" t="e">
        <f>O16-O25</f>
        <v>#N/A</v>
      </c>
    </row>
    <row r="28" spans="2:15" ht="15.75" thickTop="1" x14ac:dyDescent="0.25"/>
    <row r="29" spans="2:15" x14ac:dyDescent="0.25">
      <c r="B29" s="9" t="s">
        <v>13</v>
      </c>
    </row>
    <row r="30" spans="2:15" ht="37.5" customHeight="1" x14ac:dyDescent="0.25">
      <c r="B30" s="84" t="s">
        <v>86</v>
      </c>
      <c r="C30" s="82"/>
      <c r="D30" s="82"/>
      <c r="E30" s="82"/>
      <c r="F30" s="82"/>
      <c r="G30" s="82"/>
      <c r="H30" s="82"/>
      <c r="I30" s="82"/>
      <c r="J30" s="82"/>
      <c r="K30" s="82"/>
      <c r="L30" s="82"/>
      <c r="M30" s="82"/>
      <c r="N30" s="82"/>
      <c r="O30" s="82"/>
    </row>
    <row r="31" spans="2:15" ht="21.75" customHeight="1" x14ac:dyDescent="0.25">
      <c r="B31" s="81" t="s">
        <v>18</v>
      </c>
      <c r="C31" s="81"/>
      <c r="D31" s="81"/>
      <c r="E31" s="81"/>
      <c r="F31" s="81"/>
      <c r="G31" s="81"/>
      <c r="H31" s="81"/>
      <c r="I31" s="81"/>
      <c r="J31" s="81"/>
      <c r="K31" s="81"/>
      <c r="L31" s="81"/>
      <c r="M31" s="81"/>
      <c r="N31" s="81"/>
      <c r="O31" s="81"/>
    </row>
    <row r="32" spans="2:15" ht="21.75" customHeight="1" x14ac:dyDescent="0.25">
      <c r="B32" t="s">
        <v>81</v>
      </c>
    </row>
    <row r="33" spans="2:15" ht="51" customHeight="1" x14ac:dyDescent="0.25">
      <c r="B33" s="82" t="s">
        <v>82</v>
      </c>
      <c r="C33" s="82"/>
      <c r="D33" s="82"/>
      <c r="E33" s="82"/>
      <c r="F33" s="82"/>
      <c r="G33" s="82"/>
      <c r="H33" s="82"/>
      <c r="I33" s="82"/>
      <c r="J33" s="82"/>
      <c r="K33" s="82"/>
      <c r="L33" s="82"/>
      <c r="M33" s="82"/>
      <c r="N33" s="82"/>
      <c r="O33" s="82"/>
    </row>
    <row r="34" spans="2:15" ht="21.75" customHeight="1" x14ac:dyDescent="0.25"/>
    <row r="36" spans="2:15" x14ac:dyDescent="0.25">
      <c r="B36" s="77" t="s">
        <v>14</v>
      </c>
      <c r="C36" s="77"/>
      <c r="D36" s="77"/>
      <c r="E36" s="77"/>
      <c r="F36" s="77"/>
      <c r="G36" s="77"/>
      <c r="H36" s="77"/>
      <c r="I36" s="77"/>
      <c r="J36" s="77"/>
      <c r="K36" s="77"/>
      <c r="L36" s="77"/>
      <c r="M36" s="77"/>
      <c r="N36" s="77"/>
      <c r="O36" s="77"/>
    </row>
  </sheetData>
  <sheetProtection algorithmName="SHA-512" hashValue="t3imS9cMDbkqxlTcjxzXQV66cBBHHqPIW9QoJ6XsVAIN6aSSamDlCD4N2JDoav1zSpTppeBttmvuicCJHxEJ/g==" saltValue="/I1OTQOsy7c5mpHXZ/2uEQ==" spinCount="100000" sheet="1" objects="1" scenarios="1" selectLockedCells="1"/>
  <mergeCells count="10">
    <mergeCell ref="B33:O33"/>
    <mergeCell ref="B36:O36"/>
    <mergeCell ref="G2:O2"/>
    <mergeCell ref="C12:D12"/>
    <mergeCell ref="B24:F24"/>
    <mergeCell ref="B30:O30"/>
    <mergeCell ref="B31:O31"/>
    <mergeCell ref="B14:D14"/>
    <mergeCell ref="B15:D15"/>
    <mergeCell ref="F5:H5"/>
  </mergeCells>
  <hyperlinks>
    <hyperlink ref="B14" r:id="rId1" display="Will you enroll in DU's health insurance plan?" xr:uid="{00000000-0004-0000-0400-000000000000}"/>
    <hyperlink ref="B15" r:id="rId2" display="Will you use DU Health &amp; Counseling Services? " xr:uid="{00000000-0004-0000-0400-000001000000}"/>
  </hyperlinks>
  <pageMargins left="0.5" right="0.5" top="0.5" bottom="0.5" header="0.3" footer="0.3"/>
  <pageSetup scale="67"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Data1!$A$24:$A$25</xm:f>
          </x14:formula1>
          <xm:sqref>E14:E15</xm:sqref>
        </x14:dataValidation>
        <x14:dataValidation type="list" allowBlank="1" showInputMessage="1" showErrorMessage="1" xr:uid="{00000000-0002-0000-0400-000001000000}">
          <x14:formula1>
            <xm:f>Data1!$K$24:$K$41</xm:f>
          </x14:formula1>
          <xm:sqref>O8 I8 K8 M8</xm:sqref>
        </x14:dataValidation>
        <x14:dataValidation type="list" allowBlank="1" showInputMessage="1" showErrorMessage="1" xr:uid="{00000000-0002-0000-0400-000002000000}">
          <x14:formula1>
            <xm:f>Data1!$A$27:$A$28</xm:f>
          </x14:formula1>
          <xm:sqref>F5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4"/>
  <sheetViews>
    <sheetView showGridLines="0" showRowColHeaders="0" showRuler="0" zoomScaleNormal="100" workbookViewId="0">
      <selection activeCell="I6" sqref="I6"/>
    </sheetView>
  </sheetViews>
  <sheetFormatPr defaultColWidth="8.85546875" defaultRowHeight="15" x14ac:dyDescent="0.25"/>
  <cols>
    <col min="1" max="1" width="4.140625" customWidth="1"/>
    <col min="4" max="4" width="26.140625"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78" t="s">
        <v>108</v>
      </c>
      <c r="H2" s="78"/>
      <c r="I2" s="78"/>
      <c r="J2" s="78"/>
      <c r="K2" s="78"/>
      <c r="L2" s="78"/>
      <c r="M2" s="78"/>
      <c r="N2" s="78"/>
      <c r="O2" s="78"/>
    </row>
    <row r="3" spans="2:15" ht="8.25" customHeight="1" x14ac:dyDescent="0.25">
      <c r="B3" s="21"/>
      <c r="C3" s="21"/>
      <c r="D3" s="21"/>
      <c r="E3" s="21"/>
      <c r="F3" s="21"/>
      <c r="G3" s="22"/>
      <c r="H3" s="23"/>
      <c r="I3" s="23"/>
      <c r="J3" s="23"/>
      <c r="K3" s="23"/>
      <c r="L3" s="23"/>
      <c r="M3" s="23"/>
      <c r="N3" s="23"/>
      <c r="O3" s="23"/>
    </row>
    <row r="4" spans="2:15" ht="9.75" customHeight="1" x14ac:dyDescent="0.25"/>
    <row r="5" spans="2:15" ht="15" customHeight="1" x14ac:dyDescent="0.25">
      <c r="I5" s="75" t="s">
        <v>99</v>
      </c>
      <c r="J5" s="40"/>
      <c r="K5" s="75" t="s">
        <v>95</v>
      </c>
      <c r="L5" s="41"/>
      <c r="M5" s="75" t="s">
        <v>96</v>
      </c>
      <c r="N5" s="41"/>
      <c r="O5" s="75" t="s">
        <v>105</v>
      </c>
    </row>
    <row r="6" spans="2:15" ht="18" customHeight="1" x14ac:dyDescent="0.3">
      <c r="C6" s="6" t="s">
        <v>51</v>
      </c>
      <c r="E6" s="32"/>
      <c r="F6" s="32"/>
      <c r="G6" s="32"/>
      <c r="H6" s="32"/>
      <c r="I6" s="71"/>
      <c r="K6" s="72"/>
      <c r="L6"/>
      <c r="M6" s="73"/>
      <c r="N6"/>
      <c r="O6" s="73"/>
    </row>
    <row r="7" spans="2:15" ht="18.75" customHeight="1" x14ac:dyDescent="0.25"/>
    <row r="8" spans="2:15" ht="15.75" thickBot="1" x14ac:dyDescent="0.3">
      <c r="B8" s="1" t="s">
        <v>7</v>
      </c>
      <c r="C8" s="2"/>
      <c r="D8" s="2"/>
      <c r="E8" s="2"/>
      <c r="F8" s="2"/>
      <c r="G8" s="4" t="s">
        <v>3</v>
      </c>
      <c r="H8" s="3"/>
      <c r="I8" s="4" t="s">
        <v>100</v>
      </c>
      <c r="J8" s="3"/>
      <c r="K8" s="4" t="s">
        <v>97</v>
      </c>
      <c r="L8" s="4"/>
      <c r="M8" s="4" t="s">
        <v>98</v>
      </c>
      <c r="N8" s="4"/>
      <c r="O8" s="4" t="s">
        <v>106</v>
      </c>
    </row>
    <row r="9" spans="2:15" ht="9" customHeight="1" x14ac:dyDescent="0.25"/>
    <row r="10" spans="2:15" ht="21.75" customHeight="1" x14ac:dyDescent="0.25">
      <c r="B10" s="11" t="s">
        <v>1</v>
      </c>
      <c r="C10" s="86"/>
      <c r="D10" s="86"/>
      <c r="E10" s="12"/>
      <c r="F10" s="12"/>
      <c r="G10" s="13" t="e">
        <f>I10+K10+M10+O10</f>
        <v>#N/A</v>
      </c>
      <c r="H10" s="12"/>
      <c r="I10" s="13" t="e">
        <f>VLOOKUP(I6, Data1!P24:Q25, 2, FALSE)</f>
        <v>#N/A</v>
      </c>
      <c r="J10" s="12"/>
      <c r="K10" s="13" t="e">
        <f>VLOOKUP(K6, Data1!P24:Q25, 2, FALSE)</f>
        <v>#N/A</v>
      </c>
      <c r="L10" s="13"/>
      <c r="M10" s="13" t="e">
        <f>VLOOKUP(M6, Data1!P24:Q25, 2, FALSE)</f>
        <v>#N/A</v>
      </c>
      <c r="N10" s="13"/>
      <c r="O10" s="13" t="e">
        <f>VLOOKUP(O6, Data1!P24:Q25, 2, FALSE)</f>
        <v>#N/A</v>
      </c>
    </row>
    <row r="11" spans="2:15" ht="21.75" customHeight="1" x14ac:dyDescent="0.25">
      <c r="B11" s="42" t="s">
        <v>2</v>
      </c>
      <c r="C11" s="43"/>
      <c r="D11" s="43"/>
      <c r="E11" s="43"/>
      <c r="F11" s="43"/>
      <c r="G11" s="44">
        <f>I11+K11+M11+O11</f>
        <v>0</v>
      </c>
      <c r="H11" s="43"/>
      <c r="I11" s="44">
        <f>IF(I6="Yes", 40, 0)</f>
        <v>0</v>
      </c>
      <c r="J11" s="43"/>
      <c r="K11" s="44">
        <f>IF(K6="Yes", 40, 0)</f>
        <v>0</v>
      </c>
      <c r="L11" s="44"/>
      <c r="M11" s="44">
        <f>IF(M6="Yes", 40, 0)</f>
        <v>0</v>
      </c>
      <c r="N11" s="44"/>
      <c r="O11" s="44">
        <f>IF(O6="Yes", 40, 0)</f>
        <v>0</v>
      </c>
    </row>
    <row r="12" spans="2:15" ht="21.75" customHeight="1" x14ac:dyDescent="0.25">
      <c r="B12" s="88" t="s">
        <v>65</v>
      </c>
      <c r="C12" s="88"/>
      <c r="D12" s="89"/>
      <c r="E12" s="35"/>
      <c r="F12" s="33"/>
      <c r="G12" s="34">
        <f>I12+K12+M12+O12</f>
        <v>0</v>
      </c>
      <c r="H12" s="33"/>
      <c r="I12" s="34">
        <f>IF(AND(E12="Yes", I6="Yes"), (VLOOKUP(E12, Data1!A24:C25, 2, FALSE)), 0)</f>
        <v>0</v>
      </c>
      <c r="J12" s="33"/>
      <c r="K12" s="34">
        <v>0</v>
      </c>
      <c r="L12" s="34"/>
      <c r="M12" s="34">
        <f>IF(AND(E12="Yes", M6="Yes"), (VLOOKUP(E12, Data1!A24:C25, 2, FALSE)), 0)</f>
        <v>0</v>
      </c>
      <c r="N12" s="33"/>
      <c r="O12" s="45">
        <v>0</v>
      </c>
    </row>
    <row r="13" spans="2:15" s="29" customFormat="1" ht="21.75" customHeight="1" x14ac:dyDescent="0.25">
      <c r="B13" s="90" t="s">
        <v>64</v>
      </c>
      <c r="C13" s="90"/>
      <c r="D13" s="91"/>
      <c r="E13" s="60"/>
      <c r="F13" s="36"/>
      <c r="G13" s="37">
        <f>I13+K13+M13+O13</f>
        <v>0</v>
      </c>
      <c r="H13" s="36"/>
      <c r="I13" s="37">
        <f>IF(AND(E13="Yes", I6="Yes"), (VLOOKUP(E13, Data1!A24:C25, 3, FALSE)), 0)</f>
        <v>0</v>
      </c>
      <c r="J13" s="36"/>
      <c r="K13" s="37">
        <f>IF(AND(E13="Yes", K6="Yes"), (VLOOKUP(E13,Data1!A24:C25, 3, FALSE)), 0)</f>
        <v>0</v>
      </c>
      <c r="L13" s="37"/>
      <c r="M13" s="37">
        <f>IF(AND(E13="Yes", M6="Yes"), (VLOOKUP(E13, Data1!A24:C25, 3, FALSE)), 0)</f>
        <v>0</v>
      </c>
      <c r="N13" s="36"/>
      <c r="O13" s="46">
        <f>IF(AND(E13="Yes", O6="Yes"), (VLOOKUP(E13,Data1!A24:C25, 3, FALSE)), 0)</f>
        <v>0</v>
      </c>
    </row>
    <row r="14" spans="2:15" ht="21.75" customHeight="1" x14ac:dyDescent="0.25">
      <c r="C14" s="9" t="s">
        <v>6</v>
      </c>
      <c r="G14" s="10" t="e">
        <f>SUM(G10:G13)</f>
        <v>#N/A</v>
      </c>
      <c r="I14" s="10" t="e">
        <f>SUM(I10:I13)</f>
        <v>#N/A</v>
      </c>
      <c r="K14" s="10" t="e">
        <f>SUM(K10:K13)</f>
        <v>#N/A</v>
      </c>
      <c r="L14" s="10"/>
      <c r="M14" s="10" t="e">
        <f>SUM(M10:M13)</f>
        <v>#N/A</v>
      </c>
      <c r="N14" s="10"/>
      <c r="O14" s="10" t="e">
        <f>SUM(O10:O13)</f>
        <v>#N/A</v>
      </c>
    </row>
    <row r="15" spans="2:15" ht="24" customHeight="1" x14ac:dyDescent="0.25"/>
    <row r="16" spans="2:15" ht="15.75" thickBot="1" x14ac:dyDescent="0.3">
      <c r="B16" s="1" t="s">
        <v>11</v>
      </c>
      <c r="C16" s="2"/>
      <c r="D16" s="2"/>
      <c r="E16" s="2"/>
      <c r="F16" s="2"/>
      <c r="G16" s="4" t="s">
        <v>3</v>
      </c>
      <c r="H16" s="3"/>
      <c r="I16" s="4" t="s">
        <v>100</v>
      </c>
      <c r="J16" s="3"/>
      <c r="K16" s="4" t="s">
        <v>97</v>
      </c>
      <c r="L16" s="4"/>
      <c r="M16" s="4" t="s">
        <v>98</v>
      </c>
      <c r="N16" s="4"/>
      <c r="O16" s="4" t="s">
        <v>106</v>
      </c>
    </row>
    <row r="17" spans="2:15" ht="21.75" customHeight="1" x14ac:dyDescent="0.25">
      <c r="B17" t="s">
        <v>16</v>
      </c>
      <c r="G17" s="17"/>
      <c r="I17" s="5">
        <f>IF((AND(I6="Yes",K6="Yes",M6="Yes",O6="Yes")),(G17/4), IF((AND(I6="Yes",K6="Yes",M6="Yes",O6="No")),(G17/3), IF((AND(I6="Yes",K6="Yes",M6="No",O6="No")),(G17/2), IF((AND(I6="Yes",K6="No",M6="No",O6="No")),(G17/1), 0))))</f>
        <v>0</v>
      </c>
      <c r="K17" s="5">
        <f>IF((AND(I6="Yes",K6="Yes",M6="Yes",O6="Yes")),(G17/4), IF((AND(I6="Yes",K6="Yes",M6="Yes",O6="No")),(G17/3), IF((AND(I6="No",K6="Yes",M6="Yes",O6="Yes")),(G17/3), IF((AND(I6="Yes",K6="Yes",M6="No",O6="No")),(G17/2), 0))))</f>
        <v>0</v>
      </c>
      <c r="M17" s="5">
        <f>IF((AND(I6="Yes",K6="Yes",M6="Yes",O6="Yes")),(G17/4), IF((AND(I6="Yes",K6="Yes",M6="Yes",O6="No")),(G17/3), IF((AND(I6="No",K6="Yes",M6="Yes",O6="Yes")),(G17/3), IF((AND(I6="No",K6="No",M6="Yes",O6="Yes")),(G17/2), 0))))</f>
        <v>0</v>
      </c>
      <c r="O17" s="5">
        <f>IF((AND(I6="Yes",K6="Yes",M6="Yes",O6="Yes")),(G17/4), IF((AND(I6="No",K6="Yes",M6="Yes",O6="Yes")),(G17/3), IF((AND(I6="No",K6="No",M6="Yes",O6="Yes")),(G17/2),  IF((AND(I6="No",K6="No",M6="No",O6="Yes")),(G17), 0))))</f>
        <v>0</v>
      </c>
    </row>
    <row r="18" spans="2:15" ht="21.75" customHeight="1" x14ac:dyDescent="0.25">
      <c r="B18" s="12" t="s">
        <v>8</v>
      </c>
      <c r="C18" s="12"/>
      <c r="D18" s="12"/>
      <c r="E18" s="12"/>
      <c r="F18" s="12"/>
      <c r="G18" s="18"/>
      <c r="H18" s="12"/>
      <c r="I18" s="13">
        <f>IF((AND(I6="Yes",K6="Yes",M6="Yes",O6="Yes")),(G18/4), IF((AND(I6="Yes",K6="Yes",M6="Yes",O6="No")),(G18/3), IF((AND(I6="Yes",K6="Yes",M6="No",O6="No")),(G18/2), IF((AND(I6="Yes",K6="No",M6="No",O6="No")),(G18/1), 0))))</f>
        <v>0</v>
      </c>
      <c r="J18" s="12"/>
      <c r="K18" s="13">
        <f>IF((AND(I6="Yes",K6="Yes",M6="Yes",O6="Yes")),(G18/4), IF((AND(I6="Yes",K6="Yes",M6="Yes",O6="No")),(G18/3), IF((AND(I6="No",K6="Yes",M6="Yes",O6="Yes")),(G18/3), IF((AND(I6="Yes",K6="Yes",M6="No",O6="No")),(G18/2), 0))))</f>
        <v>0</v>
      </c>
      <c r="L18" s="13"/>
      <c r="M18" s="13">
        <f>IF((AND(I6="Yes",K6="Yes",M6="Yes",O6="Yes")),(G18/4), IF((AND(I6="Yes",K6="Yes",M6="Yes",O6="No")),(G18/3), IF((AND(I6="No",K6="Yes",M6="Yes",O6="Yes")),(G18/3), IF((AND(I6="No",K6="No",M6="Yes",O6="Yes")),(G18/2), 0))))</f>
        <v>0</v>
      </c>
      <c r="N18" s="13"/>
      <c r="O18" s="13">
        <f>IF((AND(I6="Yes",K6="Yes",M6="Yes",O6="Yes")),(G18/4), IF((AND(I6="No",K6="Yes",M6="Yes",O6="Yes")),(G18/3), IF((AND(I6="No",K6="No",M6="Yes",O6="Yes")),(G18/2),  IF((AND(I6="No",K6="No",M6="No",O6="Yes")),(G18), 0))))</f>
        <v>0</v>
      </c>
    </row>
    <row r="19" spans="2:15" ht="21.75" customHeight="1" x14ac:dyDescent="0.25">
      <c r="B19" t="s">
        <v>19</v>
      </c>
      <c r="E19" s="19"/>
      <c r="G19" s="5">
        <f>SUM(I19,K19,M19,O19)</f>
        <v>0</v>
      </c>
      <c r="I19" s="5">
        <f>IF((AND(I6&lt;&gt;"No",K6&lt;&gt;"No",M6&lt;&gt;"No",O6&lt;&gt;"No")), ROUND(((E19-(E19*0.01057))/4),0), IF((AND(I6&lt;&gt;"No",K6&lt;&gt;"No",M6&lt;&gt;"No",O6="No")),ROUND(((E19-(E19*0.01057))/3),0), IF((AND(I6&lt;&gt;"No",K6&lt;&gt;"No",M6="No",O6="No")),ROUND(((E19-(E19*0.01057))/2),0), IF((AND(I6&lt;&gt;"No",K6="No",M6="No",O6="No")),ROUND(((E19-(E19*0.01057))/1),0), 0))))</f>
        <v>0</v>
      </c>
      <c r="K19" s="5">
        <f>IF((AND(I6&lt;&gt;"No",K6&lt;&gt;"No",M6&lt;&gt;"No",O6&lt;&gt;"No")),ROUND(((E19-(E19*0.01057))/4),0), IF((AND(I6&lt;&gt;"No",K6&lt;&gt;"No",M6&lt;&gt;"No",O6="No")),ROUND(((E19-(E19*0.01057))/3),0), IF((AND(I6="No",K6&lt;&gt;"No",M6&lt;&gt;"No",O6&lt;&gt;"No")),ROUND(((E19-(E19*0.01057))/3),0), IF((AND(I6&lt;&gt;"No",K6&lt;&gt;"No",M6="No",O6="No")),ROUND(((E19-(E19*0.01057))/2),0), 0))))</f>
        <v>0</v>
      </c>
      <c r="M19" s="5">
        <f>IF((AND(I6&lt;&gt;"No",K6&lt;&gt;"No",M6&lt;&gt;"No",O6&lt;&gt;"No")),ROUND(((E19-(E19*0.01057))/4),0), IF((AND(I6&lt;&gt;"No",K6&lt;&gt;"No",M6&lt;&gt;"No",O6="No")),ROUND(((E19-(E19*0.01057))/3),0), IF((AND(I6="No",K6&lt;&gt;"No",M6&lt;&gt;"No",O6&lt;&gt;"No")),ROUND(((E19-(E19*0.01057))/3),0), IF((AND(I6="No",K6="No",M6&lt;&gt;"No",O6&lt;&gt;"No")),ROUND(((E19-(E19*0.01057))/2),0), 0))))</f>
        <v>0</v>
      </c>
      <c r="O19" s="5">
        <f>IF((AND(I6&lt;&gt;"No",K6&lt;&gt;"No",M6&lt;&gt;"No",O6&lt;&gt;"No")),ROUND(((E19-(E19*0.01057))/4),0), IF((AND(I6="No",K6&lt;&gt;"No",M6&lt;&gt;"No",O6&lt;&gt;"No")),ROUND(((E19-(E19*0.01057))/3),0), IF((AND(I6="No",K6="No",M6&lt;&gt;"No",O6&lt;&gt;"No")),ROUND(((E19-(E19*0.01057))/2),0),  IF((AND(I6="No",K6="No",M6="No",O6&lt;&gt;"No")),ROUND(((E19-(E19*0.01057))/1),0), 0))))</f>
        <v>0</v>
      </c>
    </row>
    <row r="20" spans="2:15" ht="21.75" customHeight="1" x14ac:dyDescent="0.25">
      <c r="B20" s="12" t="s">
        <v>20</v>
      </c>
      <c r="C20" s="12"/>
      <c r="D20" s="12"/>
      <c r="E20" s="19"/>
      <c r="F20" s="12"/>
      <c r="G20" s="13">
        <f>SUM(I20,K20,M20,O20)</f>
        <v>0</v>
      </c>
      <c r="H20" s="12"/>
      <c r="I20" s="13">
        <f>IF((AND(I6&lt;&gt;"No",K6&lt;&gt;"No",M6&lt;&gt;"No",O6&lt;&gt;"No")), ROUND(((E20-(E20*0.04228))/4),0), IF((AND(I6&lt;&gt;"No",K6&lt;&gt;"No",M6&lt;&gt;"No",O6="No")),ROUND(((E20-(E20*0.04228))/3),0), IF((AND(I6&lt;&gt;"No",K6&lt;&gt;"No",M6="No",O6="No")),ROUND(((E20-(E20*0.04228))/2),0), IF((AND(I6&lt;&gt;"No",K6="No",M6="No",O6="No")),ROUND(((E20-(E20*0.04228))/1),0), 0))))</f>
        <v>0</v>
      </c>
      <c r="J20" s="12"/>
      <c r="K20" s="13">
        <f>IF((AND(I6&lt;&gt;"No",K6&lt;&gt;"No",M6&lt;&gt;"No",O6&lt;&gt;"No")),ROUND(((E20-(E20*0.04228))/4),0), IF((AND(I6&lt;&gt;"No",K6&lt;&gt;"No",M6&lt;&gt;"No",O6="No")),ROUND(((E20-(E20*0.04228))/3),0), IF((AND(I6="No",K6&lt;&gt;"No",M6&lt;&gt;"No",O6&lt;&gt;"No")),ROUND(((E20-(E20*0.04228))/3),0), IF((AND(I6&lt;&gt;"No",K6&lt;&gt;"No",M6="No",O6="No")),ROUND(((E20-(E20*0.04228))/2),0), 0))))</f>
        <v>0</v>
      </c>
      <c r="L20" s="13"/>
      <c r="M20" s="13">
        <f>IF((AND(I6&lt;&gt;"No",K6&lt;&gt;"No",M6&lt;&gt;"No",O6&lt;&gt;"No")),ROUND(((E20-(E20*0.04228))/4),0), IF((AND(I6&lt;&gt;"No",K6&lt;&gt;"No",M6&lt;&gt;"No",O6="No")),ROUND(((E20-(E20*0.04228))/3),0), IF((AND(I6="No",K6&lt;&gt;"No",M6&lt;&gt;"No",O6&lt;&gt;"No")),ROUND(((E20-(E20*0.04228))/3),0), IF((AND(I6="No",K6="No",M6&lt;&gt;"No",O6&lt;&gt;"No")),ROUND(((E20-(E20*0.04228))/2),0), 0))))</f>
        <v>0</v>
      </c>
      <c r="N20" s="13"/>
      <c r="O20" s="13">
        <f>IF((AND(I6&lt;&gt;"No",K6&lt;&gt;"No",M6&lt;&gt;"No",O6&lt;&gt;"No")),ROUND(((E20-(E20*0.04228))/4),0), IF((AND(I6="No",K6&lt;&gt;"No",M6&lt;&gt;"No",O6&lt;&gt;"No")),ROUND(((E20-(E20*0.04228))/3),0), IF((AND(I6="No",K6="No",M6&lt;&gt;"No",O6&lt;&gt;"No")),ROUND(((E20-(E20*0.04228))/2),0),  IF((AND(I6="No",K6="No",M6="No",O6&lt;&gt;"No")),ROUND(((E20-(E20*0.04228))/1),0), 0))))</f>
        <v>0</v>
      </c>
    </row>
    <row r="21" spans="2:15" ht="21.75" customHeight="1" x14ac:dyDescent="0.25">
      <c r="B21" t="s">
        <v>9</v>
      </c>
      <c r="G21" s="18"/>
      <c r="I21" s="5">
        <f>IF((AND(I6="Yes",K6="Yes",M6="Yes",O6="Yes")),(G21/4), IF((AND(I6="Yes",K6="Yes",M6="Yes",O6="No")),(G21/3), IF((AND(I6="Yes",K6="Yes",M6="No",O6="No")),(G21/2), IF((AND(I6="Yes",K6="No",M6="No",O6="No")),(G21/1), 0))))</f>
        <v>0</v>
      </c>
      <c r="K21" s="5">
        <f>IF((AND(I6="Yes",K6="Yes",M6="Yes",O6="Yes")),(G21/4), IF((AND(I6="Yes",K6="Yes",M6="Yes",O6="No")),(G21/3), IF((AND(I6="No",K6="Yes",M6="Yes",O6="Yes")),(G21/3), IF((AND(I6="Yes",K6="Yes",M6="No",O6="No")),(G21/2), 0))))</f>
        <v>0</v>
      </c>
      <c r="M21" s="5">
        <f>IF((AND(I6="Yes",K6="Yes",M6="Yes",O6="Yes")),(G21/4), IF((AND(I6="Yes",K6="Yes",M6="Yes",O6="No")),(G21/3), IF((AND(I6="No",K6="Yes",M6="Yes",O6="Yes")),(G21/3), IF((AND(I6="No",K6="No",M6="Yes",O6="Yes")),(G21/2), 0))))</f>
        <v>0</v>
      </c>
      <c r="O21" s="5">
        <f>IF((AND(I6="Yes",K6="Yes",M6="Yes",O6="Yes")),(G21/4), IF((AND(I6="No",K6="Yes",M6="Yes",O6="Yes")),(G21/3), IF((AND(I6="No",K6="No",M6="Yes",O6="Yes")),(G21/2),  IF((AND(I6="No",K6="No",M6="No",O6="Yes")),(G21), 0))))</f>
        <v>0</v>
      </c>
    </row>
    <row r="22" spans="2:15" ht="21.75" customHeight="1" x14ac:dyDescent="0.25">
      <c r="B22" s="87" t="s">
        <v>30</v>
      </c>
      <c r="C22" s="87"/>
      <c r="D22" s="87"/>
      <c r="E22" s="87"/>
      <c r="F22" s="87"/>
      <c r="G22" s="31">
        <f>I22+K22+M22+O22</f>
        <v>0</v>
      </c>
      <c r="H22" s="30"/>
      <c r="I22" s="20"/>
      <c r="J22" s="30"/>
      <c r="K22" s="20"/>
      <c r="L22" s="38"/>
      <c r="M22" s="20"/>
      <c r="N22" s="38"/>
      <c r="O22" s="20"/>
    </row>
    <row r="23" spans="2:15" ht="21.75" customHeight="1" x14ac:dyDescent="0.25">
      <c r="C23" s="9" t="s">
        <v>10</v>
      </c>
      <c r="G23" s="5">
        <f>SUM(G17:G22)</f>
        <v>0</v>
      </c>
      <c r="I23" s="5">
        <f>SUM(I17:I22)</f>
        <v>0</v>
      </c>
      <c r="K23" s="5">
        <f>SUM(K17:K22)</f>
        <v>0</v>
      </c>
      <c r="M23" s="5">
        <f>SUM(M17:M22)</f>
        <v>0</v>
      </c>
      <c r="O23" s="5">
        <f>SUM(O17:O22)</f>
        <v>0</v>
      </c>
    </row>
    <row r="24" spans="2:15" ht="15.75" thickBot="1" x14ac:dyDescent="0.3"/>
    <row r="25" spans="2:15" ht="21.75" customHeight="1" thickTop="1" thickBot="1" x14ac:dyDescent="0.35">
      <c r="B25" s="16" t="s">
        <v>12</v>
      </c>
      <c r="C25" s="15"/>
      <c r="D25" s="15"/>
      <c r="E25" s="15"/>
      <c r="F25" s="15"/>
      <c r="G25" s="27" t="e">
        <f>G14-G23</f>
        <v>#N/A</v>
      </c>
      <c r="H25" s="28"/>
      <c r="I25" s="27" t="e">
        <f>I14-I23</f>
        <v>#N/A</v>
      </c>
      <c r="J25" s="28"/>
      <c r="K25" s="27" t="e">
        <f>K14-K23</f>
        <v>#N/A</v>
      </c>
      <c r="L25" s="27"/>
      <c r="M25" s="27" t="e">
        <f>M14-M23</f>
        <v>#N/A</v>
      </c>
      <c r="N25" s="27"/>
      <c r="O25" s="27" t="e">
        <f>O14-O23</f>
        <v>#N/A</v>
      </c>
    </row>
    <row r="26" spans="2:15" ht="15.75" thickTop="1" x14ac:dyDescent="0.25"/>
    <row r="27" spans="2:15" x14ac:dyDescent="0.25">
      <c r="B27" s="9" t="s">
        <v>13</v>
      </c>
    </row>
    <row r="28" spans="2:15" ht="21.75" customHeight="1" x14ac:dyDescent="0.25">
      <c r="B28" s="84" t="s">
        <v>88</v>
      </c>
      <c r="C28" s="82"/>
      <c r="D28" s="82"/>
      <c r="E28" s="82"/>
      <c r="F28" s="82"/>
      <c r="G28" s="82"/>
      <c r="H28" s="82"/>
      <c r="I28" s="82"/>
      <c r="J28" s="82"/>
      <c r="K28" s="82"/>
      <c r="L28" s="82"/>
      <c r="M28" s="82"/>
      <c r="N28" s="82"/>
      <c r="O28" s="82"/>
    </row>
    <row r="29" spans="2:15" ht="21.75" customHeight="1" x14ac:dyDescent="0.25">
      <c r="B29" s="81" t="s">
        <v>76</v>
      </c>
      <c r="C29" s="81"/>
      <c r="D29" s="81"/>
      <c r="E29" s="81"/>
      <c r="F29" s="81"/>
      <c r="G29" s="81"/>
      <c r="H29" s="81"/>
      <c r="I29" s="81"/>
      <c r="J29" s="81"/>
      <c r="K29" s="81"/>
      <c r="L29" s="81"/>
      <c r="M29" s="81"/>
      <c r="N29" s="81"/>
      <c r="O29" s="81"/>
    </row>
    <row r="30" spans="2:15" ht="21.75" customHeight="1" x14ac:dyDescent="0.25">
      <c r="B30" t="s">
        <v>81</v>
      </c>
    </row>
    <row r="31" spans="2:15" ht="51" customHeight="1" x14ac:dyDescent="0.25">
      <c r="B31" s="82" t="s">
        <v>82</v>
      </c>
      <c r="C31" s="82"/>
      <c r="D31" s="82"/>
      <c r="E31" s="82"/>
      <c r="F31" s="82"/>
      <c r="G31" s="82"/>
      <c r="H31" s="82"/>
      <c r="I31" s="82"/>
      <c r="J31" s="82"/>
      <c r="K31" s="82"/>
      <c r="L31" s="82"/>
      <c r="M31" s="82"/>
      <c r="N31" s="82"/>
      <c r="O31" s="82"/>
    </row>
    <row r="32" spans="2:15" ht="21.75" customHeight="1" x14ac:dyDescent="0.25"/>
    <row r="34" spans="2:15" x14ac:dyDescent="0.25">
      <c r="B34" s="77" t="s">
        <v>14</v>
      </c>
      <c r="C34" s="77"/>
      <c r="D34" s="77"/>
      <c r="E34" s="77"/>
      <c r="F34" s="77"/>
      <c r="G34" s="77"/>
      <c r="H34" s="77"/>
      <c r="I34" s="77"/>
      <c r="J34" s="77"/>
      <c r="K34" s="77"/>
      <c r="L34" s="77"/>
      <c r="M34" s="77"/>
      <c r="N34" s="77"/>
      <c r="O34" s="77"/>
    </row>
  </sheetData>
  <sheetProtection algorithmName="SHA-512" hashValue="u2SZkYmLxW5IsRHkwHQAK31ghzpkbQNIV+4KWMMTvbnF7r8zpHJ/fE/PEh+qdU0meWTZMySlGHbGR5m+jbjCgA==" saltValue="7xGoj6blsKCH4+ABw5zIUg==" spinCount="100000" sheet="1" objects="1" scenarios="1" selectLockedCells="1"/>
  <mergeCells count="9">
    <mergeCell ref="G2:O2"/>
    <mergeCell ref="B29:O29"/>
    <mergeCell ref="B31:O31"/>
    <mergeCell ref="B34:O34"/>
    <mergeCell ref="C10:D10"/>
    <mergeCell ref="B22:F22"/>
    <mergeCell ref="B28:O28"/>
    <mergeCell ref="B12:D12"/>
    <mergeCell ref="B13:D13"/>
  </mergeCells>
  <hyperlinks>
    <hyperlink ref="B12" r:id="rId1" display="Will you enroll in DU's health insurance plan?" xr:uid="{00000000-0004-0000-0500-000000000000}"/>
    <hyperlink ref="B13" r:id="rId2" display="Will you use DU Health &amp; Counseling Services? " xr:uid="{00000000-0004-0000-0500-000001000000}"/>
  </hyperlinks>
  <pageMargins left="0.5" right="0.5" top="0.5" bottom="0.5" header="0.3" footer="0.3"/>
  <pageSetup scale="72"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Data1!$P$24:$P$25</xm:f>
          </x14:formula1>
          <xm:sqref>I6 O6 M6 K6</xm:sqref>
        </x14:dataValidation>
        <x14:dataValidation type="list" allowBlank="1" showInputMessage="1" showErrorMessage="1" xr:uid="{00000000-0002-0000-0500-000001000000}">
          <x14:formula1>
            <xm:f>Data1!$A$24:$A$25</xm:f>
          </x14:formula1>
          <xm:sqref>E12:E13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O32"/>
  <sheetViews>
    <sheetView showGridLines="0" showRowColHeaders="0" showRuler="0" zoomScaleNormal="100" workbookViewId="0">
      <selection activeCell="I6" sqref="I6"/>
    </sheetView>
  </sheetViews>
  <sheetFormatPr defaultColWidth="8.85546875" defaultRowHeight="15" x14ac:dyDescent="0.25"/>
  <cols>
    <col min="1" max="1" width="4.140625" customWidth="1"/>
    <col min="4" max="4" width="14"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78" t="s">
        <v>109</v>
      </c>
      <c r="H2" s="78"/>
      <c r="I2" s="78"/>
      <c r="J2" s="78"/>
      <c r="K2" s="78"/>
      <c r="L2" s="78"/>
      <c r="M2" s="78"/>
      <c r="N2" s="78"/>
      <c r="O2" s="78"/>
    </row>
    <row r="3" spans="2:15" ht="8.25" customHeight="1" x14ac:dyDescent="0.25">
      <c r="B3" s="21"/>
      <c r="C3" s="21"/>
      <c r="D3" s="21"/>
      <c r="E3" s="21"/>
      <c r="F3" s="21"/>
      <c r="G3" s="22"/>
      <c r="H3" s="23"/>
      <c r="I3" s="23"/>
      <c r="J3" s="23"/>
      <c r="K3" s="23"/>
      <c r="L3" s="23"/>
      <c r="M3" s="23"/>
      <c r="N3" s="23"/>
      <c r="O3" s="23"/>
    </row>
    <row r="4" spans="2:15" ht="9.75" customHeight="1" x14ac:dyDescent="0.25"/>
    <row r="5" spans="2:15" ht="15" customHeight="1" x14ac:dyDescent="0.25">
      <c r="I5" s="75" t="s">
        <v>99</v>
      </c>
      <c r="J5" s="40"/>
      <c r="K5" s="75" t="s">
        <v>95</v>
      </c>
      <c r="L5" s="41"/>
      <c r="M5" s="75" t="s">
        <v>96</v>
      </c>
      <c r="N5" s="41"/>
      <c r="O5" s="75" t="s">
        <v>105</v>
      </c>
    </row>
    <row r="6" spans="2:15" ht="18" customHeight="1" x14ac:dyDescent="0.3">
      <c r="C6" s="6" t="s">
        <v>52</v>
      </c>
      <c r="E6" s="32"/>
      <c r="F6" s="32"/>
      <c r="G6" s="32"/>
      <c r="H6" s="32"/>
      <c r="I6" s="71"/>
      <c r="K6" s="72"/>
      <c r="L6"/>
      <c r="M6" s="73"/>
      <c r="N6"/>
      <c r="O6" s="73"/>
    </row>
    <row r="7" spans="2:15" ht="18.75" customHeight="1" x14ac:dyDescent="0.25"/>
    <row r="8" spans="2:15" ht="15.75" thickBot="1" x14ac:dyDescent="0.3">
      <c r="B8" s="1" t="s">
        <v>7</v>
      </c>
      <c r="C8" s="2"/>
      <c r="D8" s="2"/>
      <c r="E8" s="2"/>
      <c r="F8" s="2"/>
      <c r="G8" s="4" t="s">
        <v>3</v>
      </c>
      <c r="H8" s="3"/>
      <c r="I8" s="4" t="s">
        <v>100</v>
      </c>
      <c r="J8" s="3"/>
      <c r="K8" s="4" t="s">
        <v>97</v>
      </c>
      <c r="L8" s="4"/>
      <c r="M8" s="4" t="s">
        <v>98</v>
      </c>
      <c r="N8" s="4"/>
      <c r="O8" s="4" t="s">
        <v>106</v>
      </c>
    </row>
    <row r="9" spans="2:15" ht="9" customHeight="1" x14ac:dyDescent="0.25"/>
    <row r="10" spans="2:15" ht="21.75" customHeight="1" x14ac:dyDescent="0.25">
      <c r="B10" s="11" t="s">
        <v>1</v>
      </c>
      <c r="C10" s="86"/>
      <c r="D10" s="86"/>
      <c r="E10" s="12"/>
      <c r="F10" s="12"/>
      <c r="G10" s="13" t="e">
        <f>I10+K10+M10+O10</f>
        <v>#N/A</v>
      </c>
      <c r="H10" s="12"/>
      <c r="I10" s="13" t="e">
        <f>VLOOKUP(I6, Data1!K24:M41, 3, FALSE)</f>
        <v>#N/A</v>
      </c>
      <c r="J10" s="12"/>
      <c r="K10" s="13" t="e">
        <f>VLOOKUP(K6, Data1!K24:M41, 3, FALSE)</f>
        <v>#N/A</v>
      </c>
      <c r="L10" s="13"/>
      <c r="M10" s="13" t="e">
        <f>VLOOKUP(M6, Data1!K24:M41, 3, FALSE)</f>
        <v>#N/A</v>
      </c>
      <c r="N10" s="13"/>
      <c r="O10" s="13" t="e">
        <f>VLOOKUP(O6, Data1!K24:M41, 3, FALSE)</f>
        <v>#N/A</v>
      </c>
    </row>
    <row r="11" spans="2:15" ht="21.75" customHeight="1" x14ac:dyDescent="0.25">
      <c r="B11" s="42" t="s">
        <v>2</v>
      </c>
      <c r="C11" s="43"/>
      <c r="D11" s="43"/>
      <c r="E11" s="43"/>
      <c r="F11" s="43"/>
      <c r="G11" s="44" t="e">
        <f>I11+K11+M11+O11</f>
        <v>#N/A</v>
      </c>
      <c r="H11" s="43"/>
      <c r="I11" s="44" t="e">
        <f>VLOOKUP(I6,Data1!K24:N41,4,FALSE)</f>
        <v>#N/A</v>
      </c>
      <c r="J11" s="43"/>
      <c r="K11" s="44" t="e">
        <f>VLOOKUP(K6,Data1!K24:N41,4,FALSE)</f>
        <v>#N/A</v>
      </c>
      <c r="L11" s="44"/>
      <c r="M11" s="44" t="e">
        <f>VLOOKUP(M6,Data1!K24:N41,4,FALSE)</f>
        <v>#N/A</v>
      </c>
      <c r="N11" s="44"/>
      <c r="O11" s="44" t="e">
        <f>VLOOKUP(O6,Data1!K24:N41,4,FALSE)</f>
        <v>#N/A</v>
      </c>
    </row>
    <row r="12" spans="2:15" ht="21.75" customHeight="1" x14ac:dyDescent="0.25">
      <c r="B12" s="21"/>
      <c r="C12" s="49" t="s">
        <v>6</v>
      </c>
      <c r="D12" s="21"/>
      <c r="E12" s="21"/>
      <c r="F12" s="21"/>
      <c r="G12" s="50" t="e">
        <f>SUM(G10:G11)</f>
        <v>#N/A</v>
      </c>
      <c r="H12" s="21"/>
      <c r="I12" s="50" t="e">
        <f>SUM(I10:I11)</f>
        <v>#N/A</v>
      </c>
      <c r="J12" s="21"/>
      <c r="K12" s="50" t="e">
        <f>SUM(K10:K11)</f>
        <v>#N/A</v>
      </c>
      <c r="L12" s="50"/>
      <c r="M12" s="50" t="e">
        <f>SUM(M10:M11)</f>
        <v>#N/A</v>
      </c>
      <c r="N12" s="50"/>
      <c r="O12" s="50" t="e">
        <f>SUM(O10:O11)</f>
        <v>#N/A</v>
      </c>
    </row>
    <row r="13" spans="2:15" ht="24" customHeight="1" x14ac:dyDescent="0.25"/>
    <row r="14" spans="2:15" ht="15.75" thickBot="1" x14ac:dyDescent="0.3">
      <c r="B14" s="1" t="s">
        <v>11</v>
      </c>
      <c r="C14" s="2"/>
      <c r="D14" s="2"/>
      <c r="E14" s="2"/>
      <c r="F14" s="2"/>
      <c r="G14" s="4" t="s">
        <v>3</v>
      </c>
      <c r="H14" s="3"/>
      <c r="I14" s="4" t="s">
        <v>100</v>
      </c>
      <c r="J14" s="3"/>
      <c r="K14" s="4" t="s">
        <v>97</v>
      </c>
      <c r="L14" s="4"/>
      <c r="M14" s="4" t="s">
        <v>98</v>
      </c>
      <c r="N14" s="4"/>
      <c r="O14" s="4" t="s">
        <v>106</v>
      </c>
    </row>
    <row r="15" spans="2:15" ht="21.75" customHeight="1" x14ac:dyDescent="0.25">
      <c r="B15" t="s">
        <v>16</v>
      </c>
      <c r="G15" s="17"/>
      <c r="I15" s="5">
        <f>IF((AND(I6&lt;&gt;"not enrolled",K6&lt;&gt;"not enrolled",M6&lt;&gt;"not enrolled",O6&lt;&gt;"not enrolled")),(G15/4), IF((AND(I6&lt;&gt;"not enrolled",K6&lt;&gt;"not enrolled",M6&lt;&gt;"not enrolled",O6="not enrolled")),(G15/3), IF((AND(I6&lt;&gt;"not enrolled",K6&lt;&gt;"not enrolled",M6="not enrolled",O6="not enrolled")),(G15/2), IF((AND(I6&lt;&gt;"not enrolled",K6="not enrolled",M6="not enrolled",O6="not enrolled")),(G15/1), 0))))</f>
        <v>0</v>
      </c>
      <c r="K15" s="5">
        <f>IF((AND(I6&lt;&gt;"not enrolled",K6&lt;&gt;"not enrolled",M6&lt;&gt;"not enrolled",O6&lt;&gt;"not enrolled")),(G15/4), IF((AND(I6&lt;&gt;"not enrolled",K6&lt;&gt;"not enrolled",M6&lt;&gt;"not enrolled",O6="not enrolled")),(G15/3), IF((AND(I6="not enrolled",K6&lt;&gt;"not enrolled",M6&lt;&gt;"not enrolled",O6&lt;&gt;"not enrolled")),(G15/3), IF((AND(I6&lt;&gt;"not enrolled",K6&lt;&gt;"not enrolled",M6="not enrolled",O6="not enrolled")),(G15/2), 0))))</f>
        <v>0</v>
      </c>
      <c r="M15" s="5">
        <f>IF((AND(I6&lt;&gt;"not enrolled",K6&lt;&gt;"not enrolled",M6&lt;&gt;"not enrolled",O6&lt;&gt;"not enrolled")),(G15/4), IF((AND(I6&lt;&gt;"not enrolled",K6&lt;&gt;"not enrolled",M6&lt;&gt;"not enrolled",O6="not enrolled")),(G15/3), IF((AND(I6="not enrolled",K6&lt;&gt;"not enrolled",M6&lt;&gt;"not enrolled",O6&lt;&gt;"not enrolled")),(G15/3), IF((AND(I6="not enrolled",K6="not enrolled",M6&lt;&gt;"not enrolled",O6&lt;&gt;"not enrolled")),(G15/2), 0))))</f>
        <v>0</v>
      </c>
      <c r="O15" s="5">
        <f>IF((AND(I6&lt;&gt;"not enrolled",K6&lt;&gt;"not enrolled",M6&lt;&gt;"not enrolled",O6&lt;&gt;"not enrolled")),(G15/4), IF((AND(I6="not enrolled",K6&lt;&gt;"not enrolled",M6&lt;&gt;"not enrolled",O6&lt;&gt;"not enrolled")),(G15/3), IF((AND(I6="not enrolled",K6="not enrolled",M6&lt;&gt;"not enrolled",O6&lt;&gt;"not enrolled")),(G15/2),  IF((AND(I6="not enrolled",K6="not enrolled",M6="not enrolled",O6&lt;&gt;"not enrolled")),(G15), 0))))</f>
        <v>0</v>
      </c>
    </row>
    <row r="16" spans="2:15" ht="21.75" customHeight="1" x14ac:dyDescent="0.25">
      <c r="B16" s="12" t="s">
        <v>8</v>
      </c>
      <c r="C16" s="12"/>
      <c r="D16" s="12"/>
      <c r="E16" s="12"/>
      <c r="F16" s="12"/>
      <c r="G16" s="18"/>
      <c r="H16" s="12"/>
      <c r="I16" s="13">
        <f>IF((AND(I6&lt;&gt;"not enrolled",K6&lt;&gt;"not enrolled",M6&lt;&gt;"not enrolled",O6&lt;&gt;"not enrolled")),(G16/4), IF((AND(I6&lt;&gt;"not enrolled",K6&lt;&gt;"not enrolled",M6&lt;&gt;"not enrolled",O6="not enrolled")),(G16/3), IF((AND(I6&lt;&gt;"not enrolled",K6&lt;&gt;"not enrolled",M6="not enrolled",O6="not enrolled")),(G16/2), IF((AND(I6&lt;&gt;"not enrolled",K6="not enrolled",M6="not enrolled",O6="not enrolled")),(G16/1), 0))))</f>
        <v>0</v>
      </c>
      <c r="J16" s="12"/>
      <c r="K16" s="13">
        <f>IF((AND(I6&lt;&gt;"not enrolled",K6&lt;&gt;"not enrolled",M6&lt;&gt;"not enrolled",O6&lt;&gt;"not enrolled")),(G16/4), IF((AND(I6&lt;&gt;"not enrolled",K6&lt;&gt;"not enrolled",M6&lt;&gt;"not enrolled",O6="not enrolled")),(G16/3), IF((AND(I6="not enrolled",K6&lt;&gt;"not enrolled",M6&lt;&gt;"not enrolled",O6&lt;&gt;"not enrolled")),(G16/3), IF((AND(I6&lt;&gt;"not enrolled",K6&lt;&gt;"not enrolled",M6="not enrolled",O6="not enrolled")),(G16/2), 0))))</f>
        <v>0</v>
      </c>
      <c r="L16" s="13"/>
      <c r="M16" s="13">
        <f>IF((AND(I6&lt;&gt;"not enrolled",K6&lt;&gt;"not enrolled",M6&lt;&gt;"not enrolled",O6&lt;&gt;"not enrolled")),(G16/4), IF((AND(I6&lt;&gt;"not enrolled",K6&lt;&gt;"not enrolled",M6&lt;&gt;"not enrolled",O6="not enrolled")),(G16/3), IF((AND(I6="not enrolled",K6&lt;&gt;"not enrolled",M6&lt;&gt;"not enrolled",O6&lt;&gt;"not enrolled")),(G16/3), IF((AND(I6="not enrolled",K6="not enrolled",M6&lt;&gt;"not enrolled",O6&lt;&gt;"not enrolled")),(G16/2), 0))))</f>
        <v>0</v>
      </c>
      <c r="N16" s="13"/>
      <c r="O16" s="13">
        <f>IF((AND(I6&lt;&gt;"not enrolled",K6&lt;&gt;"not enrolled",M6&lt;&gt;"not enrolled",O6&lt;&gt;"not enrolled")),(G16/4), IF((AND(I6="not enrolled",K6&lt;&gt;"not enrolled",M6&lt;&gt;"not enrolled",O6&lt;&gt;"not enrolled")),(G16/3), IF((AND(I6="not enrolled",K6="not enrolled",M6&lt;&gt;"not enrolled",O6&lt;&gt;"not enrolled")),(G16/2),  IF((AND(I6="not enrolled",K6="not enrolled",M6="not enrolled",O6&lt;&gt;"not enrolled")),(G16), 0))))</f>
        <v>0</v>
      </c>
    </row>
    <row r="17" spans="2:15" ht="21.75" customHeight="1" x14ac:dyDescent="0.25">
      <c r="B17" t="s">
        <v>19</v>
      </c>
      <c r="E17" s="19"/>
      <c r="G17" s="5">
        <f>SUM(I17,K17,M17,O17)</f>
        <v>0</v>
      </c>
      <c r="I17" s="5">
        <f>IF((AND(I6&lt;&gt;"not enrolled",K6&lt;&gt;"not enrolled",M6&lt;&gt;"not enrolled",O6&lt;&gt;"not enrolled")),ROUND(((E17-(E17*0.01057))/4),0), IF((AND(I6&lt;&gt;"not enrolled",K6&lt;&gt;"not enrolled",M6&lt;&gt;"not enrolled",O6="not enrolled")),ROUND(((E17-(E17*0.01057))/3),0), IF((AND(I6&lt;&gt;"not enrolled",K6&lt;&gt;"not enrolled",M6="not enrolled",O6="not enrolled")),ROUND(((E17-(E17*0.01057))/2),0), IF((AND(I6&lt;&gt;"not enrolled",K6="not enrolled",M6="not enrolled",O6="not enrolled")),ROUND(((E17-(E17*0.01057))/1),0), 0))))</f>
        <v>0</v>
      </c>
      <c r="K17" s="5">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IF((AND(I6&lt;&gt;"not enrolled",K6&lt;&gt;"not enrolled",M6="not enrolled",O6="not enrolled")),ROUND(((E17-(E17*0.01057))/2),0), 0))))</f>
        <v>0</v>
      </c>
      <c r="M17" s="5">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IF((AND(I6="not enrolled",K6="not enrolled",M6&lt;&gt;"not enrolled",O6&lt;&gt;"not enrolled")),ROUND(((E17-(E17*0.01057))/2),0), 0))))</f>
        <v>0</v>
      </c>
      <c r="O17" s="5">
        <f>IF((AND(I6&lt;&gt;"not enrolled",K6&lt;&gt;"not enrolled",M6&lt;&gt;"not enrolled",O6&lt;&gt;"not enrolled")),ROUND(((E17-(E17*0.01057))/4),0), IF((AND(I6="not enrolled",K6&lt;&gt;"not enrolled",M6&lt;&gt;"not enrolled",O6&lt;&gt;"not enrolled")),ROUND(((E17-(E17*0.01057))/3),0), IF((AND(I6="not enrolled",K6="not enrolled",M6&lt;&gt;"not enrolled",O6&lt;&gt;"not enrolled")),ROUND(((E17-(E17*0.01057))/2),0),  IF((AND(I6="not enrolled",K6="not enrolled",M6="not enrolled",O6&lt;&gt;"not enrolled")),ROUND(((E17-(E17*0.01057))/1),0), 0))))</f>
        <v>0</v>
      </c>
    </row>
    <row r="18" spans="2:15" ht="21.75" customHeight="1" x14ac:dyDescent="0.25">
      <c r="B18" s="12" t="s">
        <v>20</v>
      </c>
      <c r="C18" s="12"/>
      <c r="D18" s="12"/>
      <c r="E18" s="19"/>
      <c r="F18" s="12"/>
      <c r="G18" s="13">
        <f>SUM(I18,K18,M18,O18)</f>
        <v>0</v>
      </c>
      <c r="H18" s="12"/>
      <c r="I18" s="13">
        <f>IF((AND(I6&lt;&gt;"not enrolled",K6&lt;&gt;"not enrolled",M6&lt;&gt;"not enrolled",O6&lt;&gt;"not enrolled")),ROUND(((E18-(E18*0.04228))/4),0), IF((AND(I6&lt;&gt;"not enrolled",K6&lt;&gt;"not enrolled",M6&lt;&gt;"not enrolled",O6="not enrolled")),ROUND(((E18-(E18*0.04228))/3),0), IF((AND(I6&lt;&gt;"not enrolled",K6&lt;&gt;"not enrolled",M6="not enrolled",O6="not enrolled")),ROUND(((E18-(E18*0.04228))/2),0), IF((AND(I6&lt;&gt;"not enrolled",K6="not enrolled",M6="not enrolled",O6="not enrolled")),ROUND(((E18-(E18*0.04228))/1),0), 0))))</f>
        <v>0</v>
      </c>
      <c r="J18" s="12"/>
      <c r="K18" s="13">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IF((AND(I6&lt;&gt;"not enrolled",K6&lt;&gt;"not enrolled",M6="not enrolled",O6="not enrolled")),ROUND(((E18-(E18*0.04228))/2),0), 0))))</f>
        <v>0</v>
      </c>
      <c r="L18" s="13"/>
      <c r="M18" s="13">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IF((AND(I6="not enrolled",K6="not enrolled",M6&lt;&gt;"not enrolled",O6&lt;&gt;"not enrolled")),ROUND(((E18-(E18*0.04228))/2),0), 0))))</f>
        <v>0</v>
      </c>
      <c r="N18" s="13"/>
      <c r="O18" s="13">
        <f>IF((AND(I6&lt;&gt;"not enrolled",K6&lt;&gt;"not enrolled",M6&lt;&gt;"not enrolled",O6&lt;&gt;"not enrolled")),ROUND(((E18-(E18*0.04228))/4),0), IF((AND(I6="not enrolled",K6&lt;&gt;"not enrolled",M6&lt;&gt;"not enrolled",O6&lt;&gt;"not enrolled")),ROUND(((E18-(E18*0.04228))/3),0), IF((AND(I6="not enrolled",K6="not enrolled",M6&lt;&gt;"not enrolled",O6&lt;&gt;"not enrolled")),ROUND(((E18-(E18*0.04228))/2),0),  IF((AND(I6="not enrolled",K6="not enrolled",M6="not enrolled",O6&lt;&gt;"not enrolled")),ROUND(((E18-(E18*0.04228))/1),0), 0))))</f>
        <v>0</v>
      </c>
    </row>
    <row r="19" spans="2:15" ht="21.75" customHeight="1" x14ac:dyDescent="0.25">
      <c r="B19" t="s">
        <v>9</v>
      </c>
      <c r="G19" s="18"/>
      <c r="I19" s="5">
        <f>IF((AND(I6&lt;&gt;"not enrolled",K6&lt;&gt;"not enrolled",M6&lt;&gt;"not enrolled",O6&lt;&gt;"not enrolled")),(G19/4), IF((AND(I6&lt;&gt;"not enrolled",K6&lt;&gt;"not enrolled",M6&lt;&gt;"not enrolled",O6="not enrolled")),(G19/3), IF((AND(I6&lt;&gt;"not enrolled",K6&lt;&gt;"not enrolled",M6="not enrolled",O6="not enrolled")),(G19/2), IF((AND(I6&lt;&gt;"not enrolled",K6="not enrolled",M6="not enrolled",O6="not enrolled")),(G19/1), 0))))</f>
        <v>0</v>
      </c>
      <c r="K19" s="5">
        <f>IF((AND(I6&lt;&gt;"not enrolled",K6&lt;&gt;"not enrolled",M6&lt;&gt;"not enrolled",O6&lt;&gt;"not enrolled")),(G19/4), IF((AND(I6&lt;&gt;"not enrolled",K6&lt;&gt;"not enrolled",M6&lt;&gt;"not enrolled",O6="not enrolled")),(G19/3), IF((AND(I6="not enrolled",K6&lt;&gt;"not enrolled",M6&lt;&gt;"not enrolled",O6&lt;&gt;"not enrolled")),(G19/3), IF((AND(I6&lt;&gt;"not enrolled",K6&lt;&gt;"not enrolled",M6="not enrolled",O6="not enrolled")),(G19/2), 0))))</f>
        <v>0</v>
      </c>
      <c r="M19" s="5">
        <f>IF((AND(I6&lt;&gt;"not enrolled",K6&lt;&gt;"not enrolled",M6&lt;&gt;"not enrolled",O6&lt;&gt;"not enrolled")),(G19/4), IF((AND(I6&lt;&gt;"not enrolled",K6&lt;&gt;"not enrolled",M6&lt;&gt;"not enrolled",O6="not enrolled")),(G19/3), IF((AND(I6="not enrolled",K6&lt;&gt;"not enrolled",M6&lt;&gt;"not enrolled",O6&lt;&gt;"not enrolled")),(G19/3), IF((AND(I6="not enrolled",K6="not enrolled",M6&lt;&gt;"not enrolled",O6&lt;&gt;"not enrolled")),(G19/2), 0))))</f>
        <v>0</v>
      </c>
      <c r="O19" s="5">
        <f>IF((AND(I6&lt;&gt;"not enrolled",K6&lt;&gt;"not enrolled",M6&lt;&gt;"not enrolled",O6&lt;&gt;"not enrolled")),(G19/4), IF((AND(I6="not enrolled",K6&lt;&gt;"not enrolled",M6&lt;&gt;"not enrolled",O6&lt;&gt;"not enrolled")),(G19/3), IF((AND(I6="not enrolled",K6="not enrolled",M6&lt;&gt;"not enrolled",O6&lt;&gt;"not enrolled")),(G19/2),  IF((AND(I6="not enrolled",K6="not enrolled",M6="not enrolled",O6&lt;&gt;"not enrolled")),(G19), 0))))</f>
        <v>0</v>
      </c>
    </row>
    <row r="20" spans="2:15" ht="21.75" customHeight="1" x14ac:dyDescent="0.25">
      <c r="B20" s="87" t="s">
        <v>30</v>
      </c>
      <c r="C20" s="87"/>
      <c r="D20" s="87"/>
      <c r="E20" s="87"/>
      <c r="F20" s="87"/>
      <c r="G20" s="31">
        <f>I20+K20+M20+O20</f>
        <v>0</v>
      </c>
      <c r="H20" s="30"/>
      <c r="I20" s="20"/>
      <c r="J20" s="30"/>
      <c r="K20" s="20"/>
      <c r="L20" s="38"/>
      <c r="M20" s="20"/>
      <c r="N20" s="38"/>
      <c r="O20" s="20"/>
    </row>
    <row r="21" spans="2:15" ht="21.75" customHeight="1" x14ac:dyDescent="0.25">
      <c r="C21" s="9" t="s">
        <v>10</v>
      </c>
      <c r="G21" s="5">
        <f>SUM(G15:G20)</f>
        <v>0</v>
      </c>
      <c r="I21" s="5">
        <f>SUM(I15:I20)</f>
        <v>0</v>
      </c>
      <c r="K21" s="5">
        <f>SUM(K15:K20)</f>
        <v>0</v>
      </c>
      <c r="M21" s="5">
        <f>SUM(M15:M20)</f>
        <v>0</v>
      </c>
      <c r="O21" s="5">
        <f>SUM(O15:O20)</f>
        <v>0</v>
      </c>
    </row>
    <row r="22" spans="2:15" ht="15.75" thickBot="1" x14ac:dyDescent="0.3"/>
    <row r="23" spans="2:15" ht="21.75" customHeight="1" thickTop="1" thickBot="1" x14ac:dyDescent="0.35">
      <c r="B23" s="16" t="s">
        <v>12</v>
      </c>
      <c r="C23" s="15"/>
      <c r="D23" s="15"/>
      <c r="E23" s="15"/>
      <c r="F23" s="15"/>
      <c r="G23" s="27" t="e">
        <f>G12-G21</f>
        <v>#N/A</v>
      </c>
      <c r="H23" s="28"/>
      <c r="I23" s="27" t="e">
        <f>I12-I21</f>
        <v>#N/A</v>
      </c>
      <c r="J23" s="28"/>
      <c r="K23" s="27" t="e">
        <f>K12-K21</f>
        <v>#N/A</v>
      </c>
      <c r="L23" s="27"/>
      <c r="M23" s="27" t="e">
        <f>M12-M21</f>
        <v>#N/A</v>
      </c>
      <c r="N23" s="27"/>
      <c r="O23" s="27" t="e">
        <f>O12-O21</f>
        <v>#N/A</v>
      </c>
    </row>
    <row r="24" spans="2:15" ht="15.75" thickTop="1" x14ac:dyDescent="0.25"/>
    <row r="25" spans="2:15" x14ac:dyDescent="0.25">
      <c r="B25" s="9" t="s">
        <v>13</v>
      </c>
    </row>
    <row r="26" spans="2:15" ht="37.5" customHeight="1" x14ac:dyDescent="0.25">
      <c r="B26" s="84" t="s">
        <v>90</v>
      </c>
      <c r="C26" s="82"/>
      <c r="D26" s="82"/>
      <c r="E26" s="82"/>
      <c r="F26" s="82"/>
      <c r="G26" s="82"/>
      <c r="H26" s="82"/>
      <c r="I26" s="82"/>
      <c r="J26" s="82"/>
      <c r="K26" s="82"/>
      <c r="L26" s="82"/>
      <c r="M26" s="82"/>
      <c r="N26" s="82"/>
      <c r="O26" s="82"/>
    </row>
    <row r="27" spans="2:15" ht="21.75" customHeight="1" x14ac:dyDescent="0.25">
      <c r="B27" s="81" t="s">
        <v>18</v>
      </c>
      <c r="C27" s="81"/>
      <c r="D27" s="81"/>
      <c r="E27" s="81"/>
      <c r="F27" s="81"/>
      <c r="G27" s="81"/>
      <c r="H27" s="81"/>
      <c r="I27" s="81"/>
      <c r="J27" s="81"/>
      <c r="K27" s="81"/>
      <c r="L27" s="81"/>
      <c r="M27" s="81"/>
      <c r="N27" s="81"/>
      <c r="O27" s="81"/>
    </row>
    <row r="28" spans="2:15" ht="21.75" customHeight="1" x14ac:dyDescent="0.25">
      <c r="B28" t="s">
        <v>81</v>
      </c>
    </row>
    <row r="29" spans="2:15" ht="51" customHeight="1" x14ac:dyDescent="0.25">
      <c r="B29" s="82" t="s">
        <v>82</v>
      </c>
      <c r="C29" s="82"/>
      <c r="D29" s="82"/>
      <c r="E29" s="82"/>
      <c r="F29" s="82"/>
      <c r="G29" s="82"/>
      <c r="H29" s="82"/>
      <c r="I29" s="82"/>
      <c r="J29" s="82"/>
      <c r="K29" s="82"/>
      <c r="L29" s="82"/>
      <c r="M29" s="82"/>
      <c r="N29" s="82"/>
      <c r="O29" s="82"/>
    </row>
    <row r="30" spans="2:15" ht="21.75" customHeight="1" x14ac:dyDescent="0.25"/>
    <row r="32" spans="2:15" x14ac:dyDescent="0.25">
      <c r="B32" s="77" t="s">
        <v>14</v>
      </c>
      <c r="C32" s="77"/>
      <c r="D32" s="77"/>
      <c r="E32" s="77"/>
      <c r="F32" s="77"/>
      <c r="G32" s="77"/>
      <c r="H32" s="77"/>
      <c r="I32" s="77"/>
      <c r="J32" s="77"/>
      <c r="K32" s="77"/>
      <c r="L32" s="77"/>
      <c r="M32" s="77"/>
      <c r="N32" s="77"/>
      <c r="O32" s="77"/>
    </row>
  </sheetData>
  <sheetProtection algorithmName="SHA-512" hashValue="oavG54SFW4gD/pbqRSK5Pfk/pQgGsB2c+yKJr1NwZSPazcA53FSdsHHyRkO+OVQvKqIdFsR10tZSgtfvyIhZEQ==" saltValue="Sex3aqZo9HWz4DnYcljgVg==" spinCount="100000" sheet="1" objects="1" scenarios="1" selectLockedCells="1"/>
  <mergeCells count="7">
    <mergeCell ref="B29:O29"/>
    <mergeCell ref="B32:O32"/>
    <mergeCell ref="G2:O2"/>
    <mergeCell ref="C10:D10"/>
    <mergeCell ref="B20:F20"/>
    <mergeCell ref="B26:O26"/>
    <mergeCell ref="B27:O27"/>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Data1!$K$24:$K$41</xm:f>
          </x14:formula1>
          <xm:sqref>I6 O6 M6 K6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O36"/>
  <sheetViews>
    <sheetView showGridLines="0" showRowColHeaders="0" showRuler="0" zoomScaleNormal="100" workbookViewId="0">
      <selection activeCell="G5" sqref="G5:H5"/>
    </sheetView>
  </sheetViews>
  <sheetFormatPr defaultColWidth="8.85546875" defaultRowHeight="15" x14ac:dyDescent="0.25"/>
  <cols>
    <col min="1" max="1" width="4.140625" customWidth="1"/>
    <col min="4" max="4" width="25.7109375" customWidth="1"/>
    <col min="5" max="5" width="11.42578125" bestFit="1" customWidth="1"/>
    <col min="7" max="7" width="13.140625" style="5" customWidth="1"/>
    <col min="8" max="8" width="4.7109375" customWidth="1"/>
    <col min="9" max="9" width="13.42578125" style="5" customWidth="1"/>
    <col min="10" max="10" width="4.7109375" customWidth="1"/>
    <col min="11" max="11" width="13.42578125" style="5" customWidth="1"/>
    <col min="12" max="12" width="4.7109375" style="5" customWidth="1"/>
    <col min="13" max="13" width="13.28515625" style="5" customWidth="1"/>
    <col min="14" max="14" width="3.42578125" customWidth="1"/>
  </cols>
  <sheetData>
    <row r="1" spans="2:15" ht="17.25" customHeight="1" x14ac:dyDescent="0.25"/>
    <row r="2" spans="2:15" ht="47.25" customHeight="1" x14ac:dyDescent="0.25">
      <c r="G2" s="92" t="s">
        <v>110</v>
      </c>
      <c r="H2" s="93"/>
      <c r="I2" s="93"/>
      <c r="J2" s="93"/>
      <c r="K2" s="93"/>
      <c r="L2" s="93"/>
      <c r="M2" s="93"/>
      <c r="N2" s="93"/>
    </row>
    <row r="3" spans="2:15" ht="8.25" customHeight="1" x14ac:dyDescent="0.25">
      <c r="B3" s="21"/>
      <c r="C3" s="21"/>
      <c r="D3" s="21"/>
      <c r="E3" s="21"/>
      <c r="F3" s="21"/>
      <c r="G3" s="22"/>
      <c r="H3" s="23"/>
      <c r="I3" s="23"/>
      <c r="J3" s="23"/>
      <c r="K3" s="23"/>
      <c r="L3" s="23"/>
      <c r="M3" s="23"/>
      <c r="N3" s="23"/>
    </row>
    <row r="4" spans="2:15" ht="9.75" customHeight="1" x14ac:dyDescent="0.25"/>
    <row r="5" spans="2:15" ht="18" customHeight="1" x14ac:dyDescent="0.3">
      <c r="B5" s="6" t="s">
        <v>21</v>
      </c>
      <c r="D5" s="32"/>
      <c r="E5" s="32"/>
      <c r="F5" s="32"/>
      <c r="G5" s="96"/>
      <c r="H5" s="98"/>
      <c r="I5"/>
      <c r="N5" s="5"/>
      <c r="O5" s="5"/>
    </row>
    <row r="6" spans="2:15" ht="9.75" customHeight="1" x14ac:dyDescent="0.25">
      <c r="N6" s="5"/>
      <c r="O6" s="5"/>
    </row>
    <row r="7" spans="2:15" ht="17.25" customHeight="1" x14ac:dyDescent="0.25">
      <c r="I7" s="75" t="s">
        <v>99</v>
      </c>
      <c r="K7" s="75" t="s">
        <v>95</v>
      </c>
      <c r="M7" s="75" t="s">
        <v>96</v>
      </c>
      <c r="N7" s="5"/>
      <c r="O7" s="5"/>
    </row>
    <row r="8" spans="2:15" ht="18" customHeight="1" x14ac:dyDescent="0.3">
      <c r="C8" s="6" t="s">
        <v>52</v>
      </c>
      <c r="D8" s="32"/>
      <c r="E8" s="32"/>
      <c r="F8" s="32"/>
      <c r="G8" s="32"/>
      <c r="H8" s="32"/>
      <c r="I8" s="70"/>
      <c r="K8" s="70"/>
      <c r="L8" s="24"/>
      <c r="M8" s="70"/>
      <c r="N8" s="32"/>
    </row>
    <row r="9" spans="2:15" ht="15" customHeight="1" x14ac:dyDescent="0.25"/>
    <row r="10" spans="2:15" ht="15.75" thickBot="1" x14ac:dyDescent="0.3">
      <c r="B10" s="1" t="s">
        <v>7</v>
      </c>
      <c r="C10" s="2"/>
      <c r="D10" s="2"/>
      <c r="E10" s="2"/>
      <c r="F10" s="2"/>
      <c r="G10" s="4" t="s">
        <v>3</v>
      </c>
      <c r="H10" s="3"/>
      <c r="I10" s="4" t="s">
        <v>100</v>
      </c>
      <c r="J10" s="3"/>
      <c r="K10" s="4" t="s">
        <v>97</v>
      </c>
      <c r="L10" s="4"/>
      <c r="M10" s="4" t="s">
        <v>98</v>
      </c>
      <c r="N10" s="2"/>
    </row>
    <row r="11" spans="2:15" ht="9" customHeight="1" x14ac:dyDescent="0.25"/>
    <row r="12" spans="2:15" ht="21.75" customHeight="1" x14ac:dyDescent="0.25">
      <c r="B12" s="11" t="s">
        <v>1</v>
      </c>
      <c r="C12" s="86"/>
      <c r="D12" s="86"/>
      <c r="E12" s="12"/>
      <c r="F12" s="12"/>
      <c r="G12" s="13">
        <f>I12+K12+M12</f>
        <v>0</v>
      </c>
      <c r="H12" s="12"/>
      <c r="I12" s="13">
        <f>IF(G5="2022 Fall Quarter",(VLOOKUP(I8,Data1!E44:G61,2,FALSE)),IF(G5="2023 Fall Quarter",(VLOOKUP(I8,Data1!E44:G61,3,FALSE)),0))</f>
        <v>0</v>
      </c>
      <c r="J12" s="12"/>
      <c r="K12" s="13">
        <f>IF(G5="2022 Fall Quarter",(VLOOKUP(K8,Data1!E44:G61,2,FALSE)),IF(G5="2023 Fall Quarter",(VLOOKUP(K8,Data1!E44:G61,3,FALSE)),0))</f>
        <v>0</v>
      </c>
      <c r="L12" s="13"/>
      <c r="M12" s="13">
        <f>IF(G5="2022 Fall Quarter",(VLOOKUP(M8,Data1!E44:G61,2,FALSE)),IF(G5="2023 Fall Quarter",(VLOOKUP(M8,Data1!E44:G61,3,FALSE)),0))</f>
        <v>0</v>
      </c>
      <c r="N12" s="12"/>
    </row>
    <row r="13" spans="2:15" ht="21.75" customHeight="1" x14ac:dyDescent="0.25">
      <c r="B13" s="51" t="s">
        <v>2</v>
      </c>
      <c r="C13" s="29"/>
      <c r="D13" s="29"/>
      <c r="E13" s="29"/>
      <c r="F13" s="29"/>
      <c r="G13" s="52" t="e">
        <f>I13+K13+M13</f>
        <v>#N/A</v>
      </c>
      <c r="H13" s="29"/>
      <c r="I13" s="52" t="e">
        <f>VLOOKUP(I8,Data1!E44:H61, 4, FALSE)</f>
        <v>#N/A</v>
      </c>
      <c r="J13" s="29"/>
      <c r="K13" s="52" t="e">
        <f>VLOOKUP(K8,Data1!E44:H61, 4, FALSE)</f>
        <v>#N/A</v>
      </c>
      <c r="L13" s="52"/>
      <c r="M13" s="52" t="e">
        <f>VLOOKUP(M8,Data1!E44:H61, 4, FALSE)</f>
        <v>#N/A</v>
      </c>
      <c r="N13" s="29"/>
    </row>
    <row r="14" spans="2:15" ht="21.75" customHeight="1" x14ac:dyDescent="0.25">
      <c r="B14" s="88" t="s">
        <v>65</v>
      </c>
      <c r="C14" s="88"/>
      <c r="D14" s="89"/>
      <c r="E14" s="35"/>
      <c r="F14" s="33"/>
      <c r="G14" s="34">
        <f>I14+K14+M14</f>
        <v>0</v>
      </c>
      <c r="H14" s="33"/>
      <c r="I14" s="34">
        <f>IF(AND(E14="Yes", I8&lt;&gt;"not enrolled"), (VLOOKUP(E14, Data1!A24:C25, 2, FALSE)), 0)</f>
        <v>0</v>
      </c>
      <c r="J14" s="33"/>
      <c r="K14" s="34">
        <v>0</v>
      </c>
      <c r="L14" s="34"/>
      <c r="M14" s="34">
        <f>IF(AND(E14="Yes", M8&lt;&gt;"not enrolled"), (VLOOKUP(E14, Data1!A24:C25, 2, FALSE)), 0)</f>
        <v>0</v>
      </c>
      <c r="N14" s="33"/>
    </row>
    <row r="15" spans="2:15" s="29" customFormat="1" ht="21.75" customHeight="1" x14ac:dyDescent="0.25">
      <c r="B15" s="90" t="s">
        <v>64</v>
      </c>
      <c r="C15" s="90"/>
      <c r="D15" s="91"/>
      <c r="E15" s="60"/>
      <c r="F15" s="36"/>
      <c r="G15" s="37">
        <f>I15+K15+M15</f>
        <v>0</v>
      </c>
      <c r="H15" s="36"/>
      <c r="I15" s="37">
        <f>IF(AND(E15="Yes",I8&lt;&gt;"not enrolled",I8&lt;&gt;"4 credits",I8&lt;&gt;"5 credits"),(VLOOKUP(E15,Data1!A24:C25,3,FALSE)),0)</f>
        <v>0</v>
      </c>
      <c r="J15" s="36"/>
      <c r="K15" s="37">
        <f>IF(AND(E15="Yes",K8&lt;&gt;"not enrolled",K8&lt;&gt;"4 credits",K8&lt;&gt;"5 credits"),(VLOOKUP(E15,Data1!A24:C25,3,FALSE)),0)</f>
        <v>0</v>
      </c>
      <c r="L15" s="37"/>
      <c r="M15" s="37">
        <f>IF(AND(E15="Yes",M8&lt;&gt;"not enrolled",M8&lt;&gt;"4 credits",M8&lt;&gt;"5 credits"),(VLOOKUP(E15,Data1!A24:C25,3,FALSE)),0)</f>
        <v>0</v>
      </c>
      <c r="N15" s="36"/>
    </row>
    <row r="16" spans="2:15" ht="21.75" customHeight="1" x14ac:dyDescent="0.25">
      <c r="C16" s="9" t="s">
        <v>6</v>
      </c>
      <c r="G16" s="10" t="e">
        <f>SUM(G12, G13:G15)</f>
        <v>#N/A</v>
      </c>
      <c r="I16" s="10" t="e">
        <f>SUM(I12,I13:I15)</f>
        <v>#N/A</v>
      </c>
      <c r="K16" s="10" t="e">
        <f>SUM(K12,K13:K15)</f>
        <v>#N/A</v>
      </c>
      <c r="L16" s="10"/>
      <c r="M16" s="10" t="e">
        <f>SUM(M12,M13:M15)</f>
        <v>#N/A</v>
      </c>
    </row>
    <row r="17" spans="2:14" ht="24" customHeight="1" x14ac:dyDescent="0.25"/>
    <row r="18" spans="2:14" ht="15.75" thickBot="1" x14ac:dyDescent="0.3">
      <c r="B18" s="1" t="s">
        <v>11</v>
      </c>
      <c r="C18" s="2"/>
      <c r="D18" s="2"/>
      <c r="E18" s="2"/>
      <c r="F18" s="2"/>
      <c r="G18" s="4" t="s">
        <v>3</v>
      </c>
      <c r="H18" s="3"/>
      <c r="I18" s="4" t="s">
        <v>100</v>
      </c>
      <c r="J18" s="3"/>
      <c r="K18" s="4" t="s">
        <v>97</v>
      </c>
      <c r="L18" s="4"/>
      <c r="M18" s="4" t="s">
        <v>98</v>
      </c>
      <c r="N18" s="2"/>
    </row>
    <row r="19" spans="2:14" ht="21.75" customHeight="1" x14ac:dyDescent="0.25">
      <c r="B19" t="s">
        <v>16</v>
      </c>
      <c r="G19" s="17"/>
      <c r="I19" s="5">
        <f>IF((AND(I8&lt;&gt;"not enrolled", K8&lt;&gt;"not enrolled", M8&lt;&gt;"not enrolled")), (G19/3), IF((AND(I8&lt;&gt;"not enrolled", K8&lt;&gt;"not enrolled", M8="not enrolled")), (G19/2), IF((AND(I8&lt;&gt;"not enrolled", K8="not enrolled", M8="not enrolled")), (G19/1), 0)))</f>
        <v>0</v>
      </c>
      <c r="K19" s="5">
        <f>IF((AND(I8&lt;&gt;"not enrolled",K8&lt;&gt;"not enrolled",M8&lt;&gt;"not enrolled")),(G19/3),IF((AND(I8&lt;&gt;"not enrolled",K8&lt;&gt;"not enrolled",M8="not enrolled")),(G19/2),IF((AND(I8="not enrolled",K8&lt;&gt;"not enrolled",M8&lt;&gt;"not enrolled")),(G19/2),0)))</f>
        <v>0</v>
      </c>
      <c r="M19" s="5">
        <f>IF((AND(I8&lt;&gt;"not enrolled", K8&lt;&gt;"not enrolled", M8&lt;&gt;"not enrolled")), (G19/3), IF((AND(I8="not enrolled", K8&lt;&gt;"not enrolled", M8&lt;&gt;"not enrolled")), (G19/2), IF((AND(I8="not enrolled", K8="not enrolled", M8&lt;&gt;"not enrolled")), (G19), 0)))</f>
        <v>0</v>
      </c>
    </row>
    <row r="20" spans="2:14" ht="21.75" customHeight="1" x14ac:dyDescent="0.25">
      <c r="B20" s="12" t="s">
        <v>8</v>
      </c>
      <c r="C20" s="12"/>
      <c r="D20" s="12"/>
      <c r="E20" s="12"/>
      <c r="F20" s="12"/>
      <c r="G20" s="18"/>
      <c r="H20" s="12"/>
      <c r="I20" s="13">
        <f>IF((AND(I8&lt;&gt;"not enrolled", K8&lt;&gt;"not enrolled", M8&lt;&gt;"not enrolled")), (G20/3), IF((AND(I8&lt;&gt;"not enrolled", K8&lt;&gt;"not enrolled", M8="not enrolled")), (G20/2), IF((AND(I8&lt;&gt;"not enrolled", K8="not enrolled", M8="not enrolled")), (G20/1), 0)))</f>
        <v>0</v>
      </c>
      <c r="J20" s="12"/>
      <c r="K20" s="13">
        <f>IF((AND(I8&lt;&gt;"not enrolled", K8&lt;&gt;"not enrolled", M8&lt;&gt;"not enrolled")), (G20/3), IF((AND(I8&lt;&gt;"not enrolled", K8&lt;&gt;"not enrolled", M8="not enrolled")), (G20/2), IF((AND(I8="not enrolled", K8&lt;&gt;"not enrolled", M8&lt;&gt;"not enrolled")), (G20/2), 0)))</f>
        <v>0</v>
      </c>
      <c r="L20" s="13"/>
      <c r="M20" s="13">
        <f>IF((AND(I8&lt;&gt;"not enrolled", K8&lt;&gt;"not enrolled", M8&lt;&gt;"not enrolled")), (G20/3), IF((AND(I8="not enrolled", K8&lt;&gt;"not enrolled", M8&lt;&gt;"not enrolled")), (G20/2), IF((AND(I8="not enrolled", K8="not enrolled", M8&lt;&gt;"not enrolled")), (G20), 0)))</f>
        <v>0</v>
      </c>
      <c r="N20" s="12"/>
    </row>
    <row r="21" spans="2:14" ht="21.75" customHeight="1" x14ac:dyDescent="0.25">
      <c r="B21" t="s">
        <v>19</v>
      </c>
      <c r="E21" s="19"/>
      <c r="G21" s="5">
        <f>SUM(I21,K21,M21)</f>
        <v>0</v>
      </c>
      <c r="I21" s="5">
        <f>IF((AND(I8&lt;&gt;"not enrolled", K8&lt;&gt;"not enrolled", M8&lt;&gt;"not enrolled")), ROUND(((E21-(E21*0.01057))/3),0), IF((AND(I8&lt;&gt;"not enrolled", K8&lt;&gt;"not enrolled", M8="not enrolled")), ROUND(((E21-(E21*0.01057))/2),0), IF((AND(I8&lt;&gt;"not enrolled", K8="not enrolled", M8="not enrolled")), ROUND(((E21-(E21*0.01057))/1),0), 0)))</f>
        <v>0</v>
      </c>
      <c r="K21" s="5">
        <f>IF((AND(I8&lt;&gt;"not enrolled", K8&lt;&gt;"not enrolled", M8&lt;&gt;"not enrolled")), ROUND(((E21-(E21*0.01057))/3),0), IF((AND(I8&lt;&gt;"not enrolled", K8&lt;&gt;"not enrolled", M8="not enrolled")), ROUND(((E21-(E21*0.01057))/2),0), IF((AND(I8="not enrolled", K8&lt;&gt;"not enrolled", M8&lt;&gt;"not enrolled")), ROUND(((E21-(E21*0.01057))/2),0), 0)))</f>
        <v>0</v>
      </c>
      <c r="M21" s="5">
        <f>IF((AND(I8&lt;&gt;"not enrolled", K8&lt;&gt;"not enrolled", M8&lt;&gt;"not enrolled")), ROUND(((E21-(E21*0.01057))/3),0), IF((AND(I8="not enrolled", K8&lt;&gt;"not enrolled", M8&lt;&gt;"not enrolled")), ROUND(((E21-(E21*0.01057))/2),0), IF((AND(I8="not enrolled", K8="not enrolled", M8&lt;&gt;"not enrolled")), ROUND(((E21-(E21*0.01057))/1),0), 0)))</f>
        <v>0</v>
      </c>
    </row>
    <row r="22" spans="2:14" ht="21.75" customHeight="1" x14ac:dyDescent="0.25">
      <c r="B22" s="12" t="s">
        <v>20</v>
      </c>
      <c r="C22" s="12"/>
      <c r="D22" s="12"/>
      <c r="E22" s="19"/>
      <c r="F22" s="12"/>
      <c r="G22" s="13">
        <f>SUM(I22,K22,M22)</f>
        <v>0</v>
      </c>
      <c r="H22" s="12"/>
      <c r="I22" s="13">
        <f>IF((AND(I8&lt;&gt;"not enrolled", K8&lt;&gt;"not enrolled", M8&lt;&gt;"not enrolled")), ROUND(((E22-(E22*0.04228))/3),0), IF((AND(I8&lt;&gt;"not enrolled", K8&lt;&gt;"not enrolled", M8="not enrolled")), ROUND(((E22-(E22*0.04228))/2),0), IF((AND(I8&lt;&gt;"not enrolled", K8="not enrolled", M8="not enrolled")), ROUND(((E22-(E22*0.04228))/1),0), 0)))</f>
        <v>0</v>
      </c>
      <c r="J22" s="12"/>
      <c r="K22" s="13">
        <f>IF((AND(I8&lt;&gt;"not enrolled", K8&lt;&gt;"not enrolled", M8&lt;&gt;"not enrolled")), ROUND(((E22-(E22*0.04228))/3),0), IF((AND(I8&lt;&gt;"not enrolled", K8&lt;&gt;"not enrolled", M8="not enrolled")), ROUND(((E22-(E22*0.04228))/2),0), IF((AND(I8="not enrolled", K8&lt;&gt;"not enrolled", M8&lt;&gt;"not enrolled")), ROUND(((E22-(E22*0.04228))/2),0), 0)))</f>
        <v>0</v>
      </c>
      <c r="L22" s="13"/>
      <c r="M22" s="13">
        <f>IF((AND(I8&lt;&gt;"not enrolled", K8&lt;&gt;"not enrolled", M8&lt;&gt;"not enrolled")), ROUND(((E22-(E22*0.04228))/3),0), IF((AND(I8="not enrolled", K8&lt;&gt;"not enrolled", M8&lt;&gt;"not enrolled")), ROUND(((E22-(E22*0.04228))/2),0), IF((AND(I8="not enrolled", K8="not enrolled", M8&lt;&gt;"not enrolled")), ROUND(((E22-(E22*0.04228))/1),0), 0)))</f>
        <v>0</v>
      </c>
      <c r="N22" s="12"/>
    </row>
    <row r="23" spans="2:14" ht="21.75" customHeight="1" x14ac:dyDescent="0.25">
      <c r="B23" t="s">
        <v>9</v>
      </c>
      <c r="G23" s="18"/>
      <c r="I23" s="5">
        <f>IF((AND(I8&lt;&gt;"not enrolled", K8&lt;&gt;"not enrolled", M8&lt;&gt;"not enrolled")), (G23/3), IF((AND(I8&lt;&gt;"not enrolled", K8&lt;&gt;"not enrolled", M8="not enrolled")), (G23/2), IF((AND(I8&lt;&gt;"not enrolled", K8="not enrolled", M8="not enrolled")), (G23/1), 0)))</f>
        <v>0</v>
      </c>
      <c r="K23" s="5">
        <f>IF((AND(I8&lt;&gt;"not enrolled", K8&lt;&gt;"not enrolled", M8&lt;&gt;"not enrolled")), (G23/3), IF((AND(I8&lt;&gt;"not enrolled", K8&lt;&gt;"not enrolled", M8="not enrolled")), (G23/2), IF((AND(I8="not enrolled", K8&lt;&gt;"not enrolled", M8&lt;&gt;"not enrolled")), (G23/2), 0)))</f>
        <v>0</v>
      </c>
      <c r="M23" s="5">
        <f>IF((AND(I8&lt;&gt;"not enrolled", K8&lt;&gt;"not enrolled", M8&lt;&gt;"not enrolled")), (G23/3), IF((AND(I8="not enrolled", K8&lt;&gt;"not enrolled", M8&lt;&gt;"not enrolled")), (G23/2), IF((AND(I8="not enrolled", K8="not enrolled", M8&lt;&gt;"not enrolled")), (G23), 0)))</f>
        <v>0</v>
      </c>
    </row>
    <row r="24" spans="2:14" ht="21.75" customHeight="1" x14ac:dyDescent="0.25">
      <c r="B24" s="99" t="s">
        <v>30</v>
      </c>
      <c r="C24" s="99"/>
      <c r="D24" s="99"/>
      <c r="E24" s="99"/>
      <c r="F24" s="99"/>
      <c r="G24" s="8">
        <f>I24+K24+M24</f>
        <v>0</v>
      </c>
      <c r="H24" s="7"/>
      <c r="I24" s="20"/>
      <c r="J24" s="7"/>
      <c r="K24" s="20"/>
      <c r="L24" s="25"/>
      <c r="M24" s="26"/>
      <c r="N24" s="7"/>
    </row>
    <row r="25" spans="2:14" ht="21.75" customHeight="1" x14ac:dyDescent="0.25">
      <c r="C25" s="9" t="s">
        <v>10</v>
      </c>
      <c r="G25" s="5">
        <f>SUM(G19:G24)</f>
        <v>0</v>
      </c>
      <c r="I25" s="5">
        <f>SUM(I19:I24)</f>
        <v>0</v>
      </c>
      <c r="K25" s="5">
        <f>SUM(K19:K23,K24)</f>
        <v>0</v>
      </c>
      <c r="M25" s="5">
        <f>SUM(M19:M23,M24)</f>
        <v>0</v>
      </c>
    </row>
    <row r="26" spans="2:14" ht="15.75" thickBot="1" x14ac:dyDescent="0.3"/>
    <row r="27" spans="2:14" ht="21.75" customHeight="1" thickTop="1" thickBot="1" x14ac:dyDescent="0.35">
      <c r="B27" s="16" t="s">
        <v>12</v>
      </c>
      <c r="C27" s="15"/>
      <c r="D27" s="15"/>
      <c r="E27" s="15"/>
      <c r="F27" s="15"/>
      <c r="G27" s="27" t="e">
        <f>G16-G25</f>
        <v>#N/A</v>
      </c>
      <c r="H27" s="28"/>
      <c r="I27" s="27" t="e">
        <f>I16-I25</f>
        <v>#N/A</v>
      </c>
      <c r="J27" s="28"/>
      <c r="K27" s="27" t="e">
        <f>K16-K25</f>
        <v>#N/A</v>
      </c>
      <c r="L27" s="27"/>
      <c r="M27" s="27" t="e">
        <f>M16-M25</f>
        <v>#N/A</v>
      </c>
      <c r="N27" s="15"/>
    </row>
    <row r="28" spans="2:14" ht="15.75" thickTop="1" x14ac:dyDescent="0.25"/>
    <row r="29" spans="2:14" x14ac:dyDescent="0.25">
      <c r="B29" s="9" t="s">
        <v>13</v>
      </c>
    </row>
    <row r="30" spans="2:14" ht="36.75" customHeight="1" x14ac:dyDescent="0.25">
      <c r="B30" s="82" t="s">
        <v>116</v>
      </c>
      <c r="C30" s="82"/>
      <c r="D30" s="82"/>
      <c r="E30" s="82"/>
      <c r="F30" s="82"/>
      <c r="G30" s="82"/>
      <c r="H30" s="82"/>
      <c r="I30" s="82"/>
      <c r="J30" s="82"/>
      <c r="K30" s="82"/>
      <c r="L30" s="82"/>
      <c r="M30" s="82"/>
      <c r="N30" s="82"/>
    </row>
    <row r="31" spans="2:14" ht="21.75" customHeight="1" x14ac:dyDescent="0.25">
      <c r="B31" s="81" t="s">
        <v>18</v>
      </c>
      <c r="C31" s="81"/>
      <c r="D31" s="81"/>
      <c r="E31" s="81"/>
      <c r="F31" s="81"/>
      <c r="G31" s="81"/>
      <c r="H31" s="81"/>
      <c r="I31" s="81"/>
      <c r="J31" s="81"/>
      <c r="K31" s="81"/>
      <c r="L31" s="81"/>
      <c r="M31" s="81"/>
      <c r="N31" s="81"/>
    </row>
    <row r="32" spans="2:14" ht="21.75" customHeight="1" x14ac:dyDescent="0.25">
      <c r="B32" t="s">
        <v>81</v>
      </c>
    </row>
    <row r="33" spans="2:14" ht="51" customHeight="1" x14ac:dyDescent="0.25">
      <c r="B33" s="82" t="s">
        <v>82</v>
      </c>
      <c r="C33" s="82"/>
      <c r="D33" s="82"/>
      <c r="E33" s="82"/>
      <c r="F33" s="82"/>
      <c r="G33" s="82"/>
      <c r="H33" s="82"/>
      <c r="I33" s="82"/>
      <c r="J33" s="82"/>
      <c r="K33" s="82"/>
      <c r="L33" s="82"/>
      <c r="M33" s="82"/>
      <c r="N33" s="82"/>
    </row>
    <row r="34" spans="2:14" ht="21.75" customHeight="1" x14ac:dyDescent="0.25"/>
    <row r="36" spans="2:14" x14ac:dyDescent="0.25">
      <c r="B36" s="77" t="s">
        <v>14</v>
      </c>
      <c r="C36" s="77"/>
      <c r="D36" s="77"/>
      <c r="E36" s="77"/>
      <c r="F36" s="77"/>
      <c r="G36" s="77"/>
      <c r="H36" s="77"/>
      <c r="I36" s="77"/>
      <c r="J36" s="77"/>
      <c r="K36" s="77"/>
      <c r="L36" s="77"/>
      <c r="M36" s="77"/>
      <c r="N36" s="77"/>
    </row>
  </sheetData>
  <sheetProtection algorithmName="SHA-512" hashValue="szTq1rGfvRVEtC+nCPWt/Udc7Y2PtNFUU7T5AUwDJ0TdZVVsvjCm0/GFYgdZ5B4Hdmc/834TOsSiXKWI9yNxxQ==" saltValue="dLYTsEzjdMcwET06HScfLQ==" spinCount="100000" sheet="1" objects="1" scenarios="1" selectLockedCells="1"/>
  <mergeCells count="10">
    <mergeCell ref="B33:N33"/>
    <mergeCell ref="B36:N36"/>
    <mergeCell ref="G2:N2"/>
    <mergeCell ref="G5:H5"/>
    <mergeCell ref="C12:D12"/>
    <mergeCell ref="B24:F24"/>
    <mergeCell ref="B30:N30"/>
    <mergeCell ref="B31:N31"/>
    <mergeCell ref="B14:D14"/>
    <mergeCell ref="B15:D15"/>
  </mergeCells>
  <hyperlinks>
    <hyperlink ref="B14" r:id="rId1" display="Will you enroll in DU's health insurance plan?" xr:uid="{00000000-0004-0000-0700-000000000000}"/>
    <hyperlink ref="B15" r:id="rId2" display="Will you use DU Health &amp; Counseling Services? " xr:uid="{00000000-0004-0000-0700-000001000000}"/>
  </hyperlinks>
  <pageMargins left="0.5" right="0.5" top="0.5" bottom="0.5" header="0.3" footer="0.3"/>
  <pageSetup scale="72"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0000000}">
          <x14:formula1>
            <xm:f>Data1!$E$44:$E$61</xm:f>
          </x14:formula1>
          <xm:sqref>M8 K8 I8</xm:sqref>
        </x14:dataValidation>
        <x14:dataValidation type="list" allowBlank="1" showInputMessage="1" showErrorMessage="1" xr:uid="{00000000-0002-0000-0700-000001000000}">
          <x14:formula1>
            <xm:f>Data1!$A$24:$A$25</xm:f>
          </x14:formula1>
          <xm:sqref>E14:E15</xm:sqref>
        </x14:dataValidation>
        <x14:dataValidation type="list" allowBlank="1" showInputMessage="1" showErrorMessage="1" xr:uid="{00000000-0002-0000-0700-000002000000}">
          <x14:formula1>
            <xm:f>Data1!$A$30:$A$31</xm:f>
          </x14:formula1>
          <xm:sqref>G5:H5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61"/>
  <sheetViews>
    <sheetView showGridLines="0" workbookViewId="0">
      <selection activeCell="G51" sqref="G51"/>
    </sheetView>
  </sheetViews>
  <sheetFormatPr defaultColWidth="8.85546875" defaultRowHeight="15" x14ac:dyDescent="0.25"/>
  <cols>
    <col min="5" max="5" width="12.140625" bestFit="1" customWidth="1"/>
    <col min="6" max="10" width="11.85546875" customWidth="1"/>
    <col min="11" max="11" width="12" bestFit="1" customWidth="1"/>
    <col min="12" max="13" width="11.85546875" customWidth="1"/>
  </cols>
  <sheetData>
    <row r="1" spans="1:27" x14ac:dyDescent="0.25">
      <c r="A1" s="9" t="s">
        <v>71</v>
      </c>
      <c r="F1" s="9" t="s">
        <v>26</v>
      </c>
      <c r="K1" s="9" t="s">
        <v>27</v>
      </c>
    </row>
    <row r="2" spans="1:27" x14ac:dyDescent="0.25">
      <c r="A2" s="39" t="s">
        <v>50</v>
      </c>
      <c r="B2">
        <v>0</v>
      </c>
      <c r="C2">
        <v>0</v>
      </c>
      <c r="D2">
        <v>0</v>
      </c>
      <c r="F2" s="39" t="s">
        <v>50</v>
      </c>
      <c r="G2">
        <v>0</v>
      </c>
      <c r="H2">
        <v>0</v>
      </c>
      <c r="I2">
        <v>0</v>
      </c>
      <c r="K2" s="39" t="s">
        <v>50</v>
      </c>
      <c r="L2">
        <v>0</v>
      </c>
      <c r="M2">
        <v>0</v>
      </c>
      <c r="O2" s="82" t="s">
        <v>112</v>
      </c>
      <c r="P2" s="82"/>
      <c r="Q2" s="82"/>
      <c r="R2" s="82"/>
      <c r="S2" s="82"/>
      <c r="T2" s="82"/>
      <c r="U2" s="82"/>
      <c r="V2" s="82"/>
      <c r="W2" s="82"/>
      <c r="X2" s="82"/>
      <c r="Y2" s="82"/>
      <c r="Z2" s="82"/>
      <c r="AA2" s="82"/>
    </row>
    <row r="3" spans="1:27" x14ac:dyDescent="0.25">
      <c r="A3" t="s">
        <v>32</v>
      </c>
      <c r="B3">
        <v>4712</v>
      </c>
      <c r="C3">
        <v>16</v>
      </c>
      <c r="D3">
        <v>53</v>
      </c>
      <c r="F3" t="s">
        <v>32</v>
      </c>
      <c r="G3">
        <v>6448</v>
      </c>
      <c r="H3">
        <v>16</v>
      </c>
      <c r="I3">
        <v>53</v>
      </c>
      <c r="K3" t="s">
        <v>32</v>
      </c>
      <c r="L3">
        <v>6448</v>
      </c>
      <c r="M3">
        <v>16</v>
      </c>
      <c r="O3" s="82" t="s">
        <v>113</v>
      </c>
      <c r="P3" s="82"/>
      <c r="Q3" s="82"/>
      <c r="R3" s="82"/>
      <c r="S3" s="82"/>
      <c r="T3" s="82"/>
      <c r="U3" s="82"/>
      <c r="V3" s="82"/>
      <c r="W3" s="82"/>
      <c r="X3" s="82"/>
      <c r="Y3" s="82"/>
      <c r="Z3" s="82"/>
      <c r="AA3" s="82"/>
    </row>
    <row r="4" spans="1:27" x14ac:dyDescent="0.25">
      <c r="A4" t="s">
        <v>33</v>
      </c>
      <c r="B4">
        <v>5890</v>
      </c>
      <c r="C4">
        <v>20</v>
      </c>
      <c r="D4">
        <v>53</v>
      </c>
      <c r="F4" t="s">
        <v>33</v>
      </c>
      <c r="G4">
        <v>8060</v>
      </c>
      <c r="H4">
        <v>20</v>
      </c>
      <c r="I4">
        <v>53</v>
      </c>
      <c r="K4" t="s">
        <v>33</v>
      </c>
      <c r="L4">
        <v>8060</v>
      </c>
      <c r="M4">
        <v>20</v>
      </c>
    </row>
    <row r="5" spans="1:27" x14ac:dyDescent="0.25">
      <c r="A5" t="s">
        <v>34</v>
      </c>
      <c r="B5">
        <v>7068</v>
      </c>
      <c r="C5">
        <v>24</v>
      </c>
      <c r="D5">
        <v>53</v>
      </c>
      <c r="F5" t="s">
        <v>34</v>
      </c>
      <c r="G5">
        <v>9672</v>
      </c>
      <c r="H5">
        <v>24</v>
      </c>
      <c r="I5">
        <v>53</v>
      </c>
      <c r="K5" t="s">
        <v>34</v>
      </c>
      <c r="L5">
        <v>9672</v>
      </c>
      <c r="M5">
        <v>24</v>
      </c>
    </row>
    <row r="6" spans="1:27" x14ac:dyDescent="0.25">
      <c r="A6" t="s">
        <v>35</v>
      </c>
      <c r="B6">
        <v>8246</v>
      </c>
      <c r="C6">
        <v>28</v>
      </c>
      <c r="D6">
        <v>53</v>
      </c>
      <c r="F6" t="s">
        <v>35</v>
      </c>
      <c r="G6">
        <v>11284</v>
      </c>
      <c r="H6">
        <v>28</v>
      </c>
      <c r="I6">
        <v>53</v>
      </c>
      <c r="K6" t="s">
        <v>35</v>
      </c>
      <c r="L6">
        <v>11284</v>
      </c>
      <c r="M6">
        <v>28</v>
      </c>
    </row>
    <row r="7" spans="1:27" x14ac:dyDescent="0.25">
      <c r="A7" t="s">
        <v>36</v>
      </c>
      <c r="B7">
        <v>9424</v>
      </c>
      <c r="C7">
        <v>32</v>
      </c>
      <c r="D7">
        <v>53</v>
      </c>
      <c r="F7" t="s">
        <v>36</v>
      </c>
      <c r="G7">
        <v>12896</v>
      </c>
      <c r="H7">
        <v>32</v>
      </c>
      <c r="I7">
        <v>53</v>
      </c>
      <c r="K7" t="s">
        <v>36</v>
      </c>
      <c r="L7">
        <v>12896</v>
      </c>
      <c r="M7">
        <v>32</v>
      </c>
    </row>
    <row r="8" spans="1:27" x14ac:dyDescent="0.25">
      <c r="A8" t="s">
        <v>37</v>
      </c>
      <c r="B8">
        <v>10602</v>
      </c>
      <c r="C8">
        <v>36</v>
      </c>
      <c r="D8">
        <v>53</v>
      </c>
      <c r="F8" t="s">
        <v>37</v>
      </c>
      <c r="G8">
        <v>14508</v>
      </c>
      <c r="H8">
        <v>36</v>
      </c>
      <c r="I8">
        <v>53</v>
      </c>
      <c r="K8" t="s">
        <v>37</v>
      </c>
      <c r="L8">
        <v>14508</v>
      </c>
      <c r="M8">
        <v>36</v>
      </c>
    </row>
    <row r="9" spans="1:27" x14ac:dyDescent="0.25">
      <c r="A9" t="s">
        <v>38</v>
      </c>
      <c r="B9">
        <v>11780</v>
      </c>
      <c r="C9">
        <v>40</v>
      </c>
      <c r="D9">
        <v>53</v>
      </c>
      <c r="F9" t="s">
        <v>38</v>
      </c>
      <c r="G9">
        <v>16120</v>
      </c>
      <c r="H9">
        <v>40</v>
      </c>
      <c r="I9">
        <v>53</v>
      </c>
      <c r="K9" t="s">
        <v>38</v>
      </c>
      <c r="L9">
        <v>16120</v>
      </c>
      <c r="M9">
        <v>40</v>
      </c>
    </row>
    <row r="10" spans="1:27" x14ac:dyDescent="0.25">
      <c r="A10" t="s">
        <v>39</v>
      </c>
      <c r="B10">
        <v>12958</v>
      </c>
      <c r="C10">
        <v>44</v>
      </c>
      <c r="D10">
        <v>53</v>
      </c>
      <c r="F10" t="s">
        <v>39</v>
      </c>
      <c r="G10">
        <v>17732</v>
      </c>
      <c r="H10">
        <v>44</v>
      </c>
      <c r="I10">
        <v>53</v>
      </c>
      <c r="K10" t="s">
        <v>39</v>
      </c>
      <c r="L10">
        <v>17732</v>
      </c>
      <c r="M10">
        <v>44</v>
      </c>
    </row>
    <row r="11" spans="1:27" x14ac:dyDescent="0.25">
      <c r="A11" t="s">
        <v>40</v>
      </c>
      <c r="B11">
        <v>14136</v>
      </c>
      <c r="C11">
        <v>48</v>
      </c>
      <c r="D11">
        <v>53</v>
      </c>
      <c r="F11" t="s">
        <v>40</v>
      </c>
      <c r="G11">
        <v>19344</v>
      </c>
      <c r="H11">
        <v>48</v>
      </c>
      <c r="I11">
        <v>53</v>
      </c>
      <c r="K11" t="s">
        <v>40</v>
      </c>
      <c r="L11">
        <v>19344</v>
      </c>
      <c r="M11">
        <v>48</v>
      </c>
    </row>
    <row r="12" spans="1:27" x14ac:dyDescent="0.25">
      <c r="A12" t="s">
        <v>41</v>
      </c>
      <c r="B12">
        <v>15314</v>
      </c>
      <c r="C12">
        <v>52</v>
      </c>
      <c r="D12">
        <v>53</v>
      </c>
      <c r="F12" t="s">
        <v>41</v>
      </c>
      <c r="G12">
        <v>19344</v>
      </c>
      <c r="H12">
        <v>48</v>
      </c>
      <c r="I12">
        <v>53</v>
      </c>
      <c r="K12" t="s">
        <v>41</v>
      </c>
      <c r="L12">
        <v>20956</v>
      </c>
      <c r="M12">
        <v>52</v>
      </c>
    </row>
    <row r="13" spans="1:27" x14ac:dyDescent="0.25">
      <c r="A13" t="s">
        <v>42</v>
      </c>
      <c r="B13">
        <v>16492</v>
      </c>
      <c r="C13">
        <v>56</v>
      </c>
      <c r="D13">
        <v>53</v>
      </c>
      <c r="F13" t="s">
        <v>42</v>
      </c>
      <c r="G13">
        <v>19344</v>
      </c>
      <c r="H13">
        <v>48</v>
      </c>
      <c r="I13">
        <v>53</v>
      </c>
      <c r="K13" t="s">
        <v>42</v>
      </c>
      <c r="L13">
        <v>22568</v>
      </c>
      <c r="M13">
        <v>56</v>
      </c>
    </row>
    <row r="14" spans="1:27" x14ac:dyDescent="0.25">
      <c r="A14" t="s">
        <v>43</v>
      </c>
      <c r="B14">
        <v>17670</v>
      </c>
      <c r="C14">
        <v>60</v>
      </c>
      <c r="D14">
        <v>53</v>
      </c>
      <c r="F14" t="s">
        <v>43</v>
      </c>
      <c r="G14">
        <v>19344</v>
      </c>
      <c r="H14">
        <v>48</v>
      </c>
      <c r="I14">
        <v>53</v>
      </c>
      <c r="K14" t="s">
        <v>43</v>
      </c>
      <c r="L14">
        <v>24180</v>
      </c>
      <c r="M14">
        <v>60</v>
      </c>
    </row>
    <row r="15" spans="1:27" x14ac:dyDescent="0.25">
      <c r="A15" t="s">
        <v>44</v>
      </c>
      <c r="B15">
        <v>18848</v>
      </c>
      <c r="C15">
        <v>64</v>
      </c>
      <c r="D15">
        <v>53</v>
      </c>
      <c r="F15" t="s">
        <v>44</v>
      </c>
      <c r="G15">
        <v>19344</v>
      </c>
      <c r="H15">
        <v>48</v>
      </c>
      <c r="I15">
        <v>53</v>
      </c>
      <c r="K15" t="s">
        <v>44</v>
      </c>
      <c r="L15">
        <v>25792</v>
      </c>
      <c r="M15">
        <v>64</v>
      </c>
    </row>
    <row r="16" spans="1:27" x14ac:dyDescent="0.25">
      <c r="A16" t="s">
        <v>45</v>
      </c>
      <c r="B16">
        <v>20026</v>
      </c>
      <c r="C16">
        <v>68</v>
      </c>
      <c r="D16">
        <v>53</v>
      </c>
      <c r="F16" t="s">
        <v>45</v>
      </c>
      <c r="G16">
        <v>19344</v>
      </c>
      <c r="H16">
        <v>48</v>
      </c>
      <c r="I16">
        <v>53</v>
      </c>
      <c r="K16" t="s">
        <v>45</v>
      </c>
      <c r="L16">
        <v>27404</v>
      </c>
      <c r="M16">
        <v>68</v>
      </c>
    </row>
    <row r="17" spans="1:18" x14ac:dyDescent="0.25">
      <c r="A17" t="s">
        <v>46</v>
      </c>
      <c r="B17">
        <v>21204</v>
      </c>
      <c r="C17">
        <v>72</v>
      </c>
      <c r="D17">
        <v>53</v>
      </c>
      <c r="F17" t="s">
        <v>46</v>
      </c>
      <c r="G17">
        <v>19344</v>
      </c>
      <c r="H17">
        <v>48</v>
      </c>
      <c r="I17">
        <v>53</v>
      </c>
      <c r="K17" t="s">
        <v>46</v>
      </c>
      <c r="L17">
        <v>29016</v>
      </c>
      <c r="M17">
        <v>72</v>
      </c>
    </row>
    <row r="18" spans="1:18" x14ac:dyDescent="0.25">
      <c r="A18" t="s">
        <v>47</v>
      </c>
      <c r="B18">
        <v>22382</v>
      </c>
      <c r="C18">
        <v>76</v>
      </c>
      <c r="D18">
        <v>53</v>
      </c>
      <c r="F18" t="s">
        <v>47</v>
      </c>
      <c r="G18">
        <v>20956</v>
      </c>
      <c r="H18">
        <v>52</v>
      </c>
      <c r="I18">
        <v>53</v>
      </c>
      <c r="K18" t="s">
        <v>47</v>
      </c>
      <c r="L18">
        <v>30628</v>
      </c>
      <c r="M18">
        <v>76</v>
      </c>
    </row>
    <row r="19" spans="1:18" x14ac:dyDescent="0.25">
      <c r="A19" t="s">
        <v>48</v>
      </c>
      <c r="B19">
        <v>23560</v>
      </c>
      <c r="C19">
        <v>80</v>
      </c>
      <c r="D19">
        <v>53</v>
      </c>
      <c r="F19" t="s">
        <v>48</v>
      </c>
      <c r="G19">
        <v>22568</v>
      </c>
      <c r="H19">
        <v>56</v>
      </c>
      <c r="I19">
        <v>53</v>
      </c>
      <c r="K19" t="s">
        <v>48</v>
      </c>
      <c r="L19">
        <v>32240</v>
      </c>
      <c r="M19">
        <v>80</v>
      </c>
    </row>
    <row r="20" spans="1:18" x14ac:dyDescent="0.25">
      <c r="A20" t="s">
        <v>60</v>
      </c>
      <c r="B20">
        <v>24738</v>
      </c>
      <c r="C20">
        <v>84</v>
      </c>
      <c r="D20">
        <v>53</v>
      </c>
      <c r="F20" t="s">
        <v>60</v>
      </c>
      <c r="G20">
        <v>24180</v>
      </c>
      <c r="H20">
        <v>60</v>
      </c>
      <c r="I20">
        <v>53</v>
      </c>
      <c r="K20" t="s">
        <v>60</v>
      </c>
      <c r="L20">
        <v>33852</v>
      </c>
      <c r="M20">
        <v>84</v>
      </c>
    </row>
    <row r="21" spans="1:18" x14ac:dyDescent="0.25">
      <c r="A21" t="s">
        <v>61</v>
      </c>
      <c r="B21">
        <v>25916</v>
      </c>
      <c r="C21">
        <v>88</v>
      </c>
      <c r="D21">
        <v>53</v>
      </c>
      <c r="F21" t="s">
        <v>61</v>
      </c>
      <c r="G21">
        <v>25792</v>
      </c>
      <c r="H21">
        <v>64</v>
      </c>
      <c r="I21">
        <v>53</v>
      </c>
      <c r="K21" t="s">
        <v>61</v>
      </c>
      <c r="L21">
        <v>35464</v>
      </c>
      <c r="M21">
        <v>88</v>
      </c>
    </row>
    <row r="23" spans="1:18" x14ac:dyDescent="0.25">
      <c r="A23" s="9" t="s">
        <v>28</v>
      </c>
      <c r="E23" s="9" t="s">
        <v>31</v>
      </c>
      <c r="F23" s="9"/>
      <c r="G23" s="9" t="s">
        <v>85</v>
      </c>
      <c r="H23" s="9" t="s">
        <v>53</v>
      </c>
      <c r="I23" s="9" t="s">
        <v>55</v>
      </c>
      <c r="K23" s="9" t="s">
        <v>74</v>
      </c>
      <c r="L23" s="9" t="s">
        <v>73</v>
      </c>
      <c r="M23" s="9" t="s">
        <v>89</v>
      </c>
      <c r="N23" s="47" t="s">
        <v>53</v>
      </c>
      <c r="P23" s="9" t="s">
        <v>49</v>
      </c>
      <c r="Q23" s="9" t="s">
        <v>87</v>
      </c>
      <c r="R23" s="9"/>
    </row>
    <row r="24" spans="1:18" x14ac:dyDescent="0.25">
      <c r="A24" t="s">
        <v>4</v>
      </c>
      <c r="B24">
        <v>1885</v>
      </c>
      <c r="C24">
        <v>233</v>
      </c>
      <c r="E24" s="39" t="s">
        <v>50</v>
      </c>
      <c r="F24" s="39"/>
      <c r="G24" s="39">
        <v>0</v>
      </c>
      <c r="H24">
        <v>0</v>
      </c>
      <c r="I24">
        <v>0</v>
      </c>
      <c r="K24" s="39" t="s">
        <v>50</v>
      </c>
      <c r="L24" s="39">
        <v>0</v>
      </c>
      <c r="M24" s="39">
        <v>0</v>
      </c>
      <c r="N24">
        <v>0</v>
      </c>
      <c r="P24" s="39" t="s">
        <v>4</v>
      </c>
      <c r="Q24">
        <v>16598</v>
      </c>
    </row>
    <row r="25" spans="1:18" x14ac:dyDescent="0.25">
      <c r="A25" t="s">
        <v>5</v>
      </c>
      <c r="B25">
        <v>0</v>
      </c>
      <c r="C25">
        <v>0</v>
      </c>
      <c r="E25" t="s">
        <v>32</v>
      </c>
      <c r="G25">
        <v>4800</v>
      </c>
      <c r="H25">
        <v>16</v>
      </c>
      <c r="I25">
        <v>53</v>
      </c>
      <c r="K25" t="s">
        <v>32</v>
      </c>
      <c r="L25" s="39">
        <v>5400</v>
      </c>
      <c r="M25" s="39">
        <v>5532</v>
      </c>
      <c r="N25">
        <v>16</v>
      </c>
      <c r="P25" t="s">
        <v>5</v>
      </c>
      <c r="Q25">
        <v>0</v>
      </c>
    </row>
    <row r="26" spans="1:18" x14ac:dyDescent="0.25">
      <c r="E26" t="s">
        <v>33</v>
      </c>
      <c r="G26">
        <v>6000</v>
      </c>
      <c r="H26">
        <v>20</v>
      </c>
      <c r="I26">
        <v>53</v>
      </c>
      <c r="K26" t="s">
        <v>33</v>
      </c>
      <c r="L26" s="39">
        <v>6750</v>
      </c>
      <c r="M26" s="39">
        <v>6915</v>
      </c>
      <c r="N26">
        <v>20</v>
      </c>
    </row>
    <row r="27" spans="1:18" x14ac:dyDescent="0.25">
      <c r="A27" t="s">
        <v>68</v>
      </c>
      <c r="E27" t="s">
        <v>34</v>
      </c>
      <c r="G27">
        <v>7200</v>
      </c>
      <c r="H27">
        <v>24</v>
      </c>
      <c r="I27">
        <v>53</v>
      </c>
      <c r="K27" t="s">
        <v>34</v>
      </c>
      <c r="L27" s="39">
        <v>8100</v>
      </c>
      <c r="M27" s="39">
        <v>8298</v>
      </c>
      <c r="N27">
        <v>24</v>
      </c>
    </row>
    <row r="28" spans="1:18" x14ac:dyDescent="0.25">
      <c r="A28" t="s">
        <v>69</v>
      </c>
      <c r="E28" t="s">
        <v>35</v>
      </c>
      <c r="G28">
        <v>8400</v>
      </c>
      <c r="H28">
        <v>28</v>
      </c>
      <c r="I28">
        <v>53</v>
      </c>
      <c r="K28" t="s">
        <v>35</v>
      </c>
      <c r="L28" s="39">
        <v>9450</v>
      </c>
      <c r="M28" s="39">
        <v>9681</v>
      </c>
      <c r="N28">
        <v>28</v>
      </c>
    </row>
    <row r="29" spans="1:18" x14ac:dyDescent="0.25">
      <c r="E29" t="s">
        <v>36</v>
      </c>
      <c r="G29">
        <v>9600</v>
      </c>
      <c r="H29">
        <v>32</v>
      </c>
      <c r="I29">
        <v>53</v>
      </c>
      <c r="K29" t="s">
        <v>36</v>
      </c>
      <c r="L29" s="39">
        <v>10800</v>
      </c>
      <c r="M29" s="39">
        <v>11064</v>
      </c>
      <c r="N29">
        <v>32</v>
      </c>
    </row>
    <row r="30" spans="1:18" x14ac:dyDescent="0.25">
      <c r="A30" t="s">
        <v>114</v>
      </c>
      <c r="E30" t="s">
        <v>37</v>
      </c>
      <c r="G30">
        <v>10800</v>
      </c>
      <c r="H30">
        <v>36</v>
      </c>
      <c r="I30">
        <v>53</v>
      </c>
      <c r="K30" t="s">
        <v>37</v>
      </c>
      <c r="L30" s="39">
        <v>12150</v>
      </c>
      <c r="M30" s="39">
        <v>12447</v>
      </c>
      <c r="N30">
        <v>36</v>
      </c>
    </row>
    <row r="31" spans="1:18" x14ac:dyDescent="0.25">
      <c r="A31" t="s">
        <v>91</v>
      </c>
      <c r="E31" t="s">
        <v>38</v>
      </c>
      <c r="G31">
        <v>12000</v>
      </c>
      <c r="H31">
        <v>40</v>
      </c>
      <c r="I31">
        <v>53</v>
      </c>
      <c r="K31" t="s">
        <v>38</v>
      </c>
      <c r="L31" s="39">
        <v>13500</v>
      </c>
      <c r="M31" s="39">
        <v>13830</v>
      </c>
      <c r="N31">
        <v>40</v>
      </c>
    </row>
    <row r="32" spans="1:18" x14ac:dyDescent="0.25">
      <c r="E32" t="s">
        <v>39</v>
      </c>
      <c r="G32">
        <v>13200</v>
      </c>
      <c r="H32">
        <v>44</v>
      </c>
      <c r="I32">
        <v>53</v>
      </c>
      <c r="K32" t="s">
        <v>39</v>
      </c>
      <c r="L32" s="39">
        <v>14850</v>
      </c>
      <c r="M32" s="39">
        <v>15213</v>
      </c>
      <c r="N32">
        <v>44</v>
      </c>
    </row>
    <row r="33" spans="1:14" x14ac:dyDescent="0.25">
      <c r="A33" t="s">
        <v>22</v>
      </c>
      <c r="E33" t="s">
        <v>40</v>
      </c>
      <c r="G33">
        <v>14400</v>
      </c>
      <c r="H33">
        <v>48</v>
      </c>
      <c r="I33">
        <v>53</v>
      </c>
      <c r="K33" t="s">
        <v>40</v>
      </c>
      <c r="L33" s="39">
        <v>16200</v>
      </c>
      <c r="M33" s="39">
        <v>16596</v>
      </c>
      <c r="N33">
        <v>48</v>
      </c>
    </row>
    <row r="34" spans="1:14" x14ac:dyDescent="0.25">
      <c r="A34" t="s">
        <v>24</v>
      </c>
      <c r="E34" t="s">
        <v>41</v>
      </c>
      <c r="G34">
        <v>15600</v>
      </c>
      <c r="H34">
        <v>52</v>
      </c>
      <c r="I34">
        <v>53</v>
      </c>
      <c r="K34" t="s">
        <v>41</v>
      </c>
      <c r="L34" s="39">
        <v>17550</v>
      </c>
      <c r="M34" s="39">
        <v>17979</v>
      </c>
      <c r="N34">
        <v>52</v>
      </c>
    </row>
    <row r="35" spans="1:14" x14ac:dyDescent="0.25">
      <c r="A35" t="s">
        <v>72</v>
      </c>
      <c r="E35" t="s">
        <v>42</v>
      </c>
      <c r="G35">
        <v>16800</v>
      </c>
      <c r="H35">
        <v>56</v>
      </c>
      <c r="I35">
        <v>53</v>
      </c>
      <c r="K35" t="s">
        <v>42</v>
      </c>
      <c r="L35" s="39">
        <v>18900</v>
      </c>
      <c r="M35" s="39">
        <v>19362</v>
      </c>
      <c r="N35">
        <v>56</v>
      </c>
    </row>
    <row r="36" spans="1:14" x14ac:dyDescent="0.25">
      <c r="A36" t="s">
        <v>75</v>
      </c>
      <c r="E36" t="s">
        <v>43</v>
      </c>
      <c r="G36">
        <v>18000</v>
      </c>
      <c r="H36">
        <v>60</v>
      </c>
      <c r="I36">
        <v>53</v>
      </c>
      <c r="K36" t="s">
        <v>43</v>
      </c>
      <c r="L36" s="39">
        <v>20250</v>
      </c>
      <c r="M36" s="39">
        <v>20745</v>
      </c>
      <c r="N36">
        <v>60</v>
      </c>
    </row>
    <row r="37" spans="1:14" x14ac:dyDescent="0.25">
      <c r="E37" t="s">
        <v>44</v>
      </c>
      <c r="G37">
        <v>19200</v>
      </c>
      <c r="H37">
        <v>64</v>
      </c>
      <c r="I37">
        <v>53</v>
      </c>
      <c r="K37" t="s">
        <v>44</v>
      </c>
      <c r="L37" s="39">
        <v>21600</v>
      </c>
      <c r="M37" s="39">
        <v>22128</v>
      </c>
      <c r="N37">
        <v>64</v>
      </c>
    </row>
    <row r="38" spans="1:14" x14ac:dyDescent="0.25">
      <c r="A38" t="s">
        <v>22</v>
      </c>
      <c r="E38" t="s">
        <v>45</v>
      </c>
      <c r="G38">
        <v>20400</v>
      </c>
      <c r="H38">
        <v>68</v>
      </c>
      <c r="I38">
        <v>53</v>
      </c>
      <c r="K38" t="s">
        <v>45</v>
      </c>
      <c r="L38" s="39">
        <v>22950</v>
      </c>
      <c r="M38" s="39">
        <v>23511</v>
      </c>
      <c r="N38">
        <v>68</v>
      </c>
    </row>
    <row r="39" spans="1:14" x14ac:dyDescent="0.25">
      <c r="A39" t="s">
        <v>23</v>
      </c>
      <c r="E39" t="s">
        <v>46</v>
      </c>
      <c r="G39">
        <v>21600</v>
      </c>
      <c r="H39">
        <v>72</v>
      </c>
      <c r="I39">
        <v>53</v>
      </c>
      <c r="K39" t="s">
        <v>46</v>
      </c>
      <c r="L39" s="39">
        <v>24300</v>
      </c>
      <c r="M39" s="39">
        <v>24894</v>
      </c>
      <c r="N39">
        <v>72</v>
      </c>
    </row>
    <row r="40" spans="1:14" x14ac:dyDescent="0.25">
      <c r="A40" t="s">
        <v>24</v>
      </c>
      <c r="E40" t="s">
        <v>47</v>
      </c>
      <c r="G40">
        <v>22800</v>
      </c>
      <c r="H40">
        <v>76</v>
      </c>
      <c r="I40">
        <v>53</v>
      </c>
      <c r="K40" t="s">
        <v>47</v>
      </c>
      <c r="L40" s="39">
        <v>25650</v>
      </c>
      <c r="M40" s="39">
        <v>26277</v>
      </c>
      <c r="N40">
        <v>76</v>
      </c>
    </row>
    <row r="41" spans="1:14" x14ac:dyDescent="0.25">
      <c r="A41" t="s">
        <v>25</v>
      </c>
      <c r="E41" t="s">
        <v>48</v>
      </c>
      <c r="G41">
        <v>24000</v>
      </c>
      <c r="H41">
        <v>80</v>
      </c>
      <c r="I41">
        <v>53</v>
      </c>
      <c r="K41" t="s">
        <v>48</v>
      </c>
      <c r="L41" s="39">
        <v>27000</v>
      </c>
      <c r="M41" s="39">
        <v>27660</v>
      </c>
      <c r="N41">
        <v>80</v>
      </c>
    </row>
    <row r="42" spans="1:14" x14ac:dyDescent="0.25">
      <c r="A42" t="s">
        <v>72</v>
      </c>
    </row>
    <row r="43" spans="1:14" x14ac:dyDescent="0.25">
      <c r="A43" t="s">
        <v>77</v>
      </c>
      <c r="E43" s="9" t="s">
        <v>54</v>
      </c>
      <c r="F43" s="47" t="s">
        <v>92</v>
      </c>
      <c r="G43" s="47" t="s">
        <v>115</v>
      </c>
      <c r="H43" s="47" t="s">
        <v>53</v>
      </c>
      <c r="I43" s="9"/>
    </row>
    <row r="44" spans="1:14" x14ac:dyDescent="0.25">
      <c r="A44" t="s">
        <v>75</v>
      </c>
      <c r="E44" s="39" t="s">
        <v>50</v>
      </c>
      <c r="F44" s="39">
        <v>0</v>
      </c>
      <c r="G44" s="39">
        <v>0</v>
      </c>
      <c r="H44">
        <v>0</v>
      </c>
    </row>
    <row r="45" spans="1:14" x14ac:dyDescent="0.25">
      <c r="A45" t="s">
        <v>78</v>
      </c>
      <c r="E45" t="s">
        <v>32</v>
      </c>
      <c r="F45" s="39">
        <v>5976</v>
      </c>
      <c r="G45" s="39">
        <v>6272</v>
      </c>
      <c r="H45">
        <v>16</v>
      </c>
    </row>
    <row r="46" spans="1:14" x14ac:dyDescent="0.25">
      <c r="E46" t="s">
        <v>33</v>
      </c>
      <c r="F46" s="39">
        <v>7470</v>
      </c>
      <c r="G46" s="39">
        <v>7840</v>
      </c>
      <c r="H46">
        <v>20</v>
      </c>
    </row>
    <row r="47" spans="1:14" x14ac:dyDescent="0.25">
      <c r="E47" t="s">
        <v>34</v>
      </c>
      <c r="F47" s="39">
        <v>8964</v>
      </c>
      <c r="G47" s="39">
        <v>9408</v>
      </c>
      <c r="H47">
        <v>24</v>
      </c>
    </row>
    <row r="48" spans="1:14" x14ac:dyDescent="0.25">
      <c r="E48" t="s">
        <v>35</v>
      </c>
      <c r="F48" s="39">
        <v>10458</v>
      </c>
      <c r="G48" s="39">
        <v>10976</v>
      </c>
      <c r="H48">
        <v>28</v>
      </c>
    </row>
    <row r="49" spans="5:8" x14ac:dyDescent="0.25">
      <c r="E49" t="s">
        <v>36</v>
      </c>
      <c r="F49" s="39">
        <v>11952</v>
      </c>
      <c r="G49" s="39">
        <v>12544</v>
      </c>
      <c r="H49">
        <v>32</v>
      </c>
    </row>
    <row r="50" spans="5:8" x14ac:dyDescent="0.25">
      <c r="E50" t="s">
        <v>37</v>
      </c>
      <c r="F50" s="39">
        <v>13446</v>
      </c>
      <c r="G50" s="39">
        <v>14112</v>
      </c>
      <c r="H50">
        <v>36</v>
      </c>
    </row>
    <row r="51" spans="5:8" x14ac:dyDescent="0.25">
      <c r="E51" t="s">
        <v>38</v>
      </c>
      <c r="F51" s="39">
        <v>14940</v>
      </c>
      <c r="G51" s="39">
        <v>15680</v>
      </c>
      <c r="H51">
        <v>40</v>
      </c>
    </row>
    <row r="52" spans="5:8" x14ac:dyDescent="0.25">
      <c r="E52" t="s">
        <v>39</v>
      </c>
      <c r="F52" s="39">
        <v>16434</v>
      </c>
      <c r="G52" s="39">
        <v>17248</v>
      </c>
      <c r="H52">
        <v>44</v>
      </c>
    </row>
    <row r="53" spans="5:8" x14ac:dyDescent="0.25">
      <c r="E53" t="s">
        <v>40</v>
      </c>
      <c r="F53" s="39">
        <v>17928</v>
      </c>
      <c r="G53" s="39">
        <v>18816</v>
      </c>
      <c r="H53">
        <v>48</v>
      </c>
    </row>
    <row r="54" spans="5:8" x14ac:dyDescent="0.25">
      <c r="E54" t="s">
        <v>41</v>
      </c>
      <c r="F54" s="39">
        <v>19422</v>
      </c>
      <c r="G54" s="39">
        <v>20384</v>
      </c>
      <c r="H54">
        <v>52</v>
      </c>
    </row>
    <row r="55" spans="5:8" x14ac:dyDescent="0.25">
      <c r="E55" t="s">
        <v>42</v>
      </c>
      <c r="F55" s="39">
        <v>20916</v>
      </c>
      <c r="G55" s="39">
        <v>21952</v>
      </c>
      <c r="H55">
        <v>56</v>
      </c>
    </row>
    <row r="56" spans="5:8" x14ac:dyDescent="0.25">
      <c r="E56" t="s">
        <v>43</v>
      </c>
      <c r="F56" s="39">
        <v>22410</v>
      </c>
      <c r="G56" s="39">
        <v>23520</v>
      </c>
      <c r="H56">
        <v>60</v>
      </c>
    </row>
    <row r="57" spans="5:8" x14ac:dyDescent="0.25">
      <c r="E57" t="s">
        <v>44</v>
      </c>
      <c r="F57" s="39">
        <v>23904</v>
      </c>
      <c r="G57" s="39">
        <v>25088</v>
      </c>
      <c r="H57">
        <v>64</v>
      </c>
    </row>
    <row r="58" spans="5:8" x14ac:dyDescent="0.25">
      <c r="E58" t="s">
        <v>45</v>
      </c>
      <c r="F58" s="39">
        <v>25398</v>
      </c>
      <c r="G58" s="39">
        <v>26656</v>
      </c>
      <c r="H58">
        <v>68</v>
      </c>
    </row>
    <row r="59" spans="5:8" x14ac:dyDescent="0.25">
      <c r="E59" t="s">
        <v>46</v>
      </c>
      <c r="F59" s="39">
        <v>26892</v>
      </c>
      <c r="G59" s="39">
        <v>28224</v>
      </c>
      <c r="H59">
        <v>72</v>
      </c>
    </row>
    <row r="60" spans="5:8" x14ac:dyDescent="0.25">
      <c r="E60" t="s">
        <v>47</v>
      </c>
      <c r="F60" s="39">
        <v>28386</v>
      </c>
      <c r="G60" s="39">
        <v>29792</v>
      </c>
      <c r="H60">
        <v>76</v>
      </c>
    </row>
    <row r="61" spans="5:8" x14ac:dyDescent="0.25">
      <c r="E61" t="s">
        <v>48</v>
      </c>
      <c r="F61" s="39">
        <v>29880</v>
      </c>
      <c r="G61" s="39">
        <v>31360</v>
      </c>
      <c r="H61">
        <v>80</v>
      </c>
    </row>
  </sheetData>
  <sheetProtection algorithmName="SHA-512" hashValue="shJndu06k7nDjaQZBJP8QG6Pltz6fMZOJdNUCPKv6K7j3NCrIAwwZrsNLoT4uKP8RnqucUIBRe5lrLhb9FUC1w==" saltValue="SphpxWcLDUcO27+ta7Ga6g==" spinCount="100000" sheet="1" objects="1" scenarios="1" selectLockedCells="1"/>
  <mergeCells count="2">
    <mergeCell ref="O2:AA2"/>
    <mergeCell ref="O3:AA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9</vt:i4>
      </vt:variant>
    </vt:vector>
  </HeadingPairs>
  <TitlesOfParts>
    <vt:vector size="9" baseType="lpstr">
      <vt:lpstr>Worksheets Home</vt:lpstr>
      <vt:lpstr>BA</vt:lpstr>
      <vt:lpstr>Master's</vt:lpstr>
      <vt:lpstr>Denver MBA</vt:lpstr>
      <vt:lpstr>PMBA</vt:lpstr>
      <vt:lpstr>EMBA</vt:lpstr>
      <vt:lpstr>MBA@Denver</vt:lpstr>
      <vt:lpstr>Executive PhD</vt:lpstr>
      <vt:lpstr>Data1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Lisa Westendorf</cp:lastModifiedBy>
  <cp:lastPrinted>2019-02-07T21:36:17Z</cp:lastPrinted>
  <dcterms:created xsi:type="dcterms:W3CDTF">2018-06-06T22:54:45Z</dcterms:created>
  <dcterms:modified xsi:type="dcterms:W3CDTF">2023-03-06T18:00:37Z</dcterms:modified>
</cp:coreProperties>
</file>