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59CB59CD-9C0F-44A9-BDEC-DC31C87D8386}" xr6:coauthVersionLast="47" xr6:coauthVersionMax="47" xr10:uidLastSave="{00000000-0000-0000-0000-000000000000}"/>
  <workbookProtection workbookAlgorithmName="SHA-512" workbookHashValue="Ku+5YCm7bnOFJJ0b0QbTFJnBtvQRmfHeVfLd0Fyvh4CWU/epjbN0tcs3aiH2KLgM6hfSnndOYsEm+qVZYVucyA==" workbookSaltValue="5rWW4SuWpxdlzuKYRXg2WQ==" workbookSpinCount="100000" lockStructure="1"/>
  <bookViews>
    <workbookView xWindow="6540" yWindow="810" windowWidth="21075" windowHeight="12450" tabRatio="721" xr2:uid="{00000000-000D-0000-FFFF-FFFF00000000}"/>
  </bookViews>
  <sheets>
    <sheet name="Worksheets Home" sheetId="4" r:id="rId1"/>
    <sheet name="On-Campus MSW" sheetId="32" r:id="rId2"/>
    <sheet name="On-Campus PhD" sheetId="33" r:id="rId3"/>
    <sheet name="West. CO &amp; 4 Corners" sheetId="12" r:id="rId4"/>
    <sheet name="MSW@Denver" sheetId="15" r:id="rId5"/>
    <sheet name="Data" sheetId="31" state="hidden" r:id="rId6"/>
  </sheets>
  <definedNames>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2" l="1"/>
  <c r="K11" i="12"/>
  <c r="I11" i="12"/>
  <c r="M10" i="12"/>
  <c r="K10" i="12"/>
  <c r="I10" i="12"/>
  <c r="J12" i="33"/>
  <c r="N17" i="33" l="1"/>
  <c r="L17" i="33"/>
  <c r="J17" i="33"/>
  <c r="N18" i="32"/>
  <c r="L18" i="32"/>
  <c r="J18" i="32"/>
  <c r="J14" i="33"/>
  <c r="N14" i="33"/>
  <c r="L14" i="33"/>
  <c r="C32" i="33" l="1"/>
  <c r="N12" i="33"/>
  <c r="L12" i="33"/>
  <c r="H26" i="33"/>
  <c r="N25" i="33"/>
  <c r="L25" i="33"/>
  <c r="J25" i="33"/>
  <c r="N24" i="33"/>
  <c r="L24" i="33"/>
  <c r="J24" i="33"/>
  <c r="N23" i="33"/>
  <c r="L23" i="33"/>
  <c r="J23" i="33"/>
  <c r="N22" i="33"/>
  <c r="L22" i="33"/>
  <c r="J22" i="33"/>
  <c r="N21" i="33"/>
  <c r="L21" i="33"/>
  <c r="J21" i="33"/>
  <c r="N16" i="33"/>
  <c r="J16" i="33"/>
  <c r="N15" i="33"/>
  <c r="L15" i="33"/>
  <c r="J15" i="33"/>
  <c r="N18" i="33" l="1"/>
  <c r="H16" i="33"/>
  <c r="H14" i="33"/>
  <c r="H17" i="33"/>
  <c r="L18" i="33"/>
  <c r="J18" i="33"/>
  <c r="L27" i="33"/>
  <c r="H24" i="33"/>
  <c r="N27" i="33"/>
  <c r="H23" i="33"/>
  <c r="H15" i="33"/>
  <c r="J27" i="33"/>
  <c r="H12" i="33"/>
  <c r="H18" i="33" l="1"/>
  <c r="N29" i="33"/>
  <c r="L29" i="33"/>
  <c r="H27" i="33"/>
  <c r="J29" i="33"/>
  <c r="H29" i="33" l="1"/>
  <c r="O20" i="15"/>
  <c r="M20" i="15"/>
  <c r="K20" i="15"/>
  <c r="I20" i="15"/>
  <c r="O19" i="15"/>
  <c r="M19" i="15"/>
  <c r="K19" i="15"/>
  <c r="I19" i="15"/>
  <c r="M18" i="12"/>
  <c r="K18" i="12"/>
  <c r="I18" i="12"/>
  <c r="M17" i="12"/>
  <c r="K17" i="12"/>
  <c r="I17" i="12"/>
  <c r="N25" i="32" l="1"/>
  <c r="L25" i="32"/>
  <c r="J25" i="32"/>
  <c r="N24" i="32"/>
  <c r="L24" i="32"/>
  <c r="J24" i="32"/>
  <c r="O13" i="15" l="1"/>
  <c r="M13" i="15"/>
  <c r="K13" i="15"/>
  <c r="I13" i="15"/>
  <c r="O12" i="15"/>
  <c r="M12" i="15"/>
  <c r="K12" i="15"/>
  <c r="I12" i="15"/>
  <c r="N16" i="32"/>
  <c r="L16" i="32"/>
  <c r="J16" i="32"/>
  <c r="N15" i="32"/>
  <c r="L15" i="32"/>
  <c r="J15" i="32"/>
  <c r="C33" i="32"/>
  <c r="N13" i="32"/>
  <c r="L13" i="32"/>
  <c r="J13" i="32"/>
  <c r="H16" i="32" l="1"/>
  <c r="G20" i="15" l="1"/>
  <c r="G19" i="15"/>
  <c r="G18" i="12" l="1"/>
  <c r="G17" i="12"/>
  <c r="N17" i="32"/>
  <c r="J17" i="32"/>
  <c r="J22" i="32" l="1"/>
  <c r="L22" i="32"/>
  <c r="N22" i="32"/>
  <c r="J23" i="32"/>
  <c r="L23" i="32"/>
  <c r="N23" i="32"/>
  <c r="J26" i="32"/>
  <c r="L26" i="32"/>
  <c r="N26" i="32"/>
  <c r="H27" i="32"/>
  <c r="N19" i="32" l="1"/>
  <c r="H17" i="32"/>
  <c r="H18" i="32"/>
  <c r="L19" i="32"/>
  <c r="H15" i="32"/>
  <c r="H13" i="32"/>
  <c r="J28" i="32"/>
  <c r="H24" i="32"/>
  <c r="N28" i="32"/>
  <c r="L28" i="32"/>
  <c r="H25" i="32"/>
  <c r="J19" i="32"/>
  <c r="N30" i="32" l="1"/>
  <c r="L30" i="32"/>
  <c r="H19" i="32"/>
  <c r="J30" i="32"/>
  <c r="H28" i="32"/>
  <c r="H30" i="32" l="1"/>
  <c r="O21" i="15" l="1"/>
  <c r="O18" i="15"/>
  <c r="O17" i="15"/>
  <c r="M21" i="15"/>
  <c r="M18" i="15"/>
  <c r="M17" i="15"/>
  <c r="K21" i="15"/>
  <c r="K18" i="15"/>
  <c r="K17" i="15"/>
  <c r="I21" i="15"/>
  <c r="I18" i="15"/>
  <c r="I17" i="15"/>
  <c r="M19" i="12"/>
  <c r="M16" i="12"/>
  <c r="M15" i="12"/>
  <c r="K19" i="12"/>
  <c r="K16" i="12"/>
  <c r="K15" i="12"/>
  <c r="G22" i="15" l="1"/>
  <c r="M23" i="15" l="1"/>
  <c r="O14" i="15"/>
  <c r="M14" i="15"/>
  <c r="K14" i="15"/>
  <c r="G13" i="15"/>
  <c r="I14" i="15"/>
  <c r="G12" i="15"/>
  <c r="G23" i="15"/>
  <c r="I19" i="12"/>
  <c r="I16" i="12"/>
  <c r="I15" i="12"/>
  <c r="O23" i="15" l="1"/>
  <c r="O25" i="15" s="1"/>
  <c r="M25" i="15"/>
  <c r="I23" i="15"/>
  <c r="I25" i="15" s="1"/>
  <c r="G14" i="15"/>
  <c r="G25" i="15" s="1"/>
  <c r="K23" i="15"/>
  <c r="K25" i="15" s="1"/>
  <c r="M21" i="12" l="1"/>
  <c r="I12" i="12"/>
  <c r="K12" i="12"/>
  <c r="M12" i="12"/>
  <c r="G11" i="12"/>
  <c r="G10" i="12"/>
  <c r="G21" i="12"/>
  <c r="I21" i="12" l="1"/>
  <c r="I23" i="12" s="1"/>
  <c r="K21" i="12"/>
  <c r="K23" i="12" s="1"/>
  <c r="M23" i="12"/>
  <c r="G12" i="12"/>
  <c r="G23" i="12" s="1"/>
</calcChain>
</file>

<file path=xl/sharedStrings.xml><?xml version="1.0" encoding="utf-8"?>
<sst xmlns="http://schemas.openxmlformats.org/spreadsheetml/2006/main" count="264" uniqueCount="91">
  <si>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</si>
  <si>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</si>
  <si>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</si>
  <si>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</si>
  <si>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</si>
  <si>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</si>
  <si>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</si>
  <si>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</si>
  <si>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</si>
  <si>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</si>
  <si>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</si>
  <si>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</si>
  <si>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</si>
  <si>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</si>
  <si>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</si>
  <si>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</si>
  <si>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</si>
  <si>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</si>
  <si>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</si>
  <si>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</si>
  <si>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</si>
  <si>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</si>
  <si>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</si>
  <si>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</si>
  <si>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</si>
  <si>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</si>
  <si>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</si>
  <si>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</si>
  <si>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</si>
  <si>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</si>
  <si>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</si>
  <si>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</si>
  <si>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</si>
  <si>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</si>
  <si>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</si>
  <si>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</si>
  <si>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</si>
  <si>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</si>
  <si>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</si>
  <si>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</si>
  <si>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</si>
  <si>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</si>
  <si>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</si>
  <si>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Tech Fee</t>
  </si>
  <si>
    <t>21 credits</t>
  </si>
  <si>
    <t>22 credits</t>
  </si>
  <si>
    <t xml:space="preserve">Will you use DU's Health &amp; Counseling Services? </t>
  </si>
  <si>
    <t>Technology fees are $4 per credit. If you will be enrolled in less than 4 credits, you will not be eligible for federal student loans.</t>
  </si>
  <si>
    <t>When will/did you start this program?</t>
  </si>
  <si>
    <t>2020 Summer Quarter or Later</t>
  </si>
  <si>
    <t>Prior to 2020 Summer Quarter</t>
  </si>
  <si>
    <t>MSW@Denver</t>
  </si>
  <si>
    <t>Western Colorado or Four Corners Program</t>
  </si>
  <si>
    <t>MSW@Denver Online Program</t>
  </si>
  <si>
    <t>Choose Your Program:</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</si>
  <si>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</si>
  <si>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</si>
  <si>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</si>
  <si>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</si>
  <si>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On-Campus MSW Program</t>
  </si>
  <si>
    <t>On-Campus PhD Program</t>
  </si>
  <si>
    <t>2020 Fall Quarter or Later</t>
  </si>
  <si>
    <t>Prior to 2020 Fall Quarter</t>
  </si>
  <si>
    <r>
      <rPr>
        <b/>
        <i/>
        <sz val="11"/>
        <color rgb="FF000000"/>
        <rFont val="Calibri"/>
        <family val="2"/>
        <scheme val="minor"/>
      </rPr>
      <t xml:space="preserve">Note: </t>
    </r>
    <r>
      <rPr>
        <i/>
        <sz val="11"/>
        <color rgb="FF000000"/>
        <rFont val="Calibri"/>
        <family val="2"/>
        <scheme val="minor"/>
      </rPr>
      <t xml:space="preserve">If you are in the Ph.D.,  Western Colorado, Four Corners, or online program, please use the worksheets on the next tabs. </t>
    </r>
  </si>
  <si>
    <r>
      <t xml:space="preserve">2023-24 Estimated Billing Worksheets
</t>
    </r>
    <r>
      <rPr>
        <b/>
        <i/>
        <sz val="16"/>
        <color theme="1"/>
        <rFont val="Calibri"/>
        <family val="2"/>
        <scheme val="minor"/>
      </rPr>
      <t>Graduate School of Social Work</t>
    </r>
  </si>
  <si>
    <t>FALL 2023:</t>
  </si>
  <si>
    <t>WINTER 2024:</t>
  </si>
  <si>
    <t>SPRING 2024:</t>
  </si>
  <si>
    <t>FALL 2023</t>
  </si>
  <si>
    <t>WINTER 2024</t>
  </si>
  <si>
    <t>SPRING 2024</t>
  </si>
  <si>
    <t>Tuition for the 2023-2024 academic year is $1,310 per credit.</t>
  </si>
  <si>
    <t>On-Campus Flat Rate $1612</t>
  </si>
  <si>
    <t>Tuition for the 2023-2024 academic year is $1,612 per credit. If enrolled in 12-18 credits, tuition will be charged a flat rate of $19,344.</t>
  </si>
  <si>
    <t>Tuition for the 2023-2024 academic year is $1,612 per credit.</t>
  </si>
  <si>
    <t>On-Campus $1,310</t>
  </si>
  <si>
    <t>Prior to Fall 2020 ($1,080)</t>
  </si>
  <si>
    <t>Fall 2020 or Later ($1,164)</t>
  </si>
  <si>
    <t>4C &amp; West CO ($806)</t>
  </si>
  <si>
    <r>
      <t xml:space="preserve">2023-24 Estimated Billing Worksheet
</t>
    </r>
    <r>
      <rPr>
        <b/>
        <i/>
        <sz val="16"/>
        <color theme="1"/>
        <rFont val="Calibri"/>
        <family val="2"/>
        <scheme val="minor"/>
      </rPr>
      <t>Denver Campus MSW Program</t>
    </r>
  </si>
  <si>
    <r>
      <t xml:space="preserve">2023-24 Estimated Billing Worksheet
</t>
    </r>
    <r>
      <rPr>
        <b/>
        <i/>
        <sz val="16"/>
        <color theme="1"/>
        <rFont val="Calibri"/>
        <family val="2"/>
        <scheme val="minor"/>
      </rPr>
      <t>Denver Campus PhD Program</t>
    </r>
  </si>
  <si>
    <t>On-Campus No Flat Rate $1612</t>
  </si>
  <si>
    <t>2023-24 Estimated Billing Worksheet
Four Corners &amp; Western Colorado Program</t>
  </si>
  <si>
    <r>
      <rPr>
        <vertAlign val="superscript"/>
        <sz val="11"/>
        <color theme="1"/>
        <rFont val="Calibri"/>
        <family val="2"/>
        <scheme val="minor"/>
      </rPr>
      <t>1</t>
    </r>
    <r>
      <rPr>
        <sz val="11"/>
        <color theme="1"/>
        <rFont val="Calibri"/>
        <family val="2"/>
        <scheme val="minor"/>
      </rPr>
      <t>Tuition for the 2023-2024 academic year is $806 per credit.</t>
    </r>
  </si>
  <si>
    <t>SUMMER 2024:</t>
  </si>
  <si>
    <t>SUMMER 2024</t>
  </si>
  <si>
    <r>
      <rPr>
        <vertAlign val="superscript"/>
        <sz val="11"/>
        <color theme="1"/>
        <rFont val="Calibri"/>
        <family val="2"/>
        <scheme val="minor"/>
      </rPr>
      <t>1</t>
    </r>
    <r>
      <rPr>
        <sz val="11"/>
        <color theme="1"/>
        <rFont val="Calibri"/>
        <family val="2"/>
        <scheme val="minor"/>
      </rPr>
      <t>Tuition for students who started prior to the 2020 summer quarter is $1,080 per credit. Tuition for students who started in the 2020 summer quarter or later is $1,164 per credit.</t>
    </r>
  </si>
  <si>
    <t>2023-24 Estimated Billing Worksheet
MSW@Denver Online Program</t>
  </si>
  <si>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2023-2024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(such as specific course fees) or credits may be included on your actual bill. </t>
    </r>
  </si>
  <si>
    <r>
      <t xml:space="preserve">Financial Aid | University Hall 255 | Ph: 303-871-4020 | Fax: 303-871-2341 | </t>
    </r>
    <r>
      <rPr>
        <u/>
        <sz val="11"/>
        <color rgb="FFBA0C2F"/>
        <rFont val="Calibri"/>
        <family val="2"/>
        <scheme val="minor"/>
      </rPr>
      <t>finaid@du.edu</t>
    </r>
    <r>
      <rPr>
        <sz val="11"/>
        <color theme="1"/>
        <rFont val="Calibri"/>
        <family val="2"/>
        <scheme val="minor"/>
      </rPr>
      <t xml:space="preserve"> | </t>
    </r>
    <r>
      <rPr>
        <u/>
        <sz val="11"/>
        <color rgb="FFBA0C2F"/>
        <rFont val="Calibri"/>
        <family val="2"/>
        <scheme val="minor"/>
      </rPr>
      <t>www.du.edu/financialaid</t>
    </r>
  </si>
  <si>
    <t>Will you enroll in DU's Health Insurance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</si>
</sst>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b/>
      <i/>
      <sz val="14"/>
      <color rgb="FFBA0C2F"/>
      <name val="Calibri"/>
      <family val="2"/>
      <scheme val="minor"/>
    </font>
    <font>
      <u/>
      <sz val="11"/>
      <color rgb="FFBA0C2F"/>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bottom style="dashed">
        <color indexed="64"/>
      </bottom>
      <diagonal/>
    </border>
    <border>
      <left/>
      <right/>
      <top style="dotted">
        <color auto="1"/>
      </top>
      <bottom style="dotted">
        <color auto="1"/>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93">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0" fillId="0" borderId="3" xfId="0" applyBorder="1"/>
    <xf numFmtId="44" fontId="0" fillId="0" borderId="3" xfId="1" applyFont="1"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6"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0" fillId="4" borderId="3" xfId="1" applyFont="1" applyFill="1" applyBorder="1" applyProtection="1">
      <protection locked="0"/>
    </xf>
    <xf numFmtId="44" fontId="0" fillId="2" borderId="11" xfId="1" applyFont="1" applyFill="1" applyBorder="1" applyProtection="1">
      <protection locked="0"/>
    </xf>
    <xf numFmtId="44" fontId="9" fillId="0" borderId="7" xfId="1" applyFont="1" applyBorder="1"/>
    <xf numFmtId="0" fontId="9"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3" fillId="0" borderId="0" xfId="0" applyFont="1" applyAlignment="1">
      <alignment horizontal="left" vertical="top" indent="3"/>
    </xf>
    <xf numFmtId="0" fontId="12" fillId="0" borderId="0" xfId="2" applyAlignment="1" applyProtection="1">
      <alignment horizontal="left" indent="5"/>
      <protection locked="0"/>
    </xf>
    <xf numFmtId="0" fontId="0" fillId="0" borderId="0" xfId="0" applyProtection="1">
      <protection locked="0"/>
    </xf>
    <xf numFmtId="0" fontId="0" fillId="0" borderId="0" xfId="0" applyProtection="1"/>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0" fillId="0" borderId="0" xfId="0" applyFont="1" applyBorder="1" applyAlignment="1">
      <alignment horizontal="left" vertical="center" wrapText="1" indent="1"/>
    </xf>
    <xf numFmtId="0" fontId="0" fillId="0" borderId="0" xfId="0" applyAlignment="1">
      <alignment horizontal="left"/>
    </xf>
    <xf numFmtId="0" fontId="5" fillId="0" borderId="0" xfId="0" applyFont="1" applyAlignment="1">
      <alignment horizontal="right" vertical="top"/>
    </xf>
    <xf numFmtId="0" fontId="5" fillId="0" borderId="0" xfId="0" applyFont="1" applyAlignment="1">
      <alignment horizontal="right"/>
    </xf>
    <xf numFmtId="0" fontId="0" fillId="0" borderId="0" xfId="0" applyAlignment="1"/>
    <xf numFmtId="0" fontId="0" fillId="0" borderId="0" xfId="0" applyAlignment="1">
      <alignment wrapText="1"/>
    </xf>
    <xf numFmtId="0" fontId="5" fillId="0" borderId="0" xfId="0" applyFont="1"/>
    <xf numFmtId="44" fontId="0" fillId="2" borderId="14" xfId="1" applyFont="1" applyFill="1" applyBorder="1" applyProtection="1">
      <protection locked="0"/>
    </xf>
    <xf numFmtId="0" fontId="14" fillId="0" borderId="0" xfId="0" applyFont="1" applyBorder="1" applyAlignment="1">
      <alignment horizontal="left" vertical="top" indent="1"/>
    </xf>
    <xf numFmtId="0" fontId="4" fillId="2" borderId="6" xfId="0" applyFont="1" applyFill="1" applyBorder="1" applyAlignment="1" applyProtection="1">
      <alignment horizontal="center" wrapText="1"/>
      <protection locked="0"/>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7" xfId="1" applyFont="1" applyBorder="1" applyAlignment="1">
      <alignment horizontal="center"/>
    </xf>
    <xf numFmtId="0" fontId="0" fillId="0" borderId="3" xfId="0" applyFill="1" applyBorder="1" applyAlignment="1">
      <alignment horizontal="left"/>
    </xf>
    <xf numFmtId="0" fontId="0" fillId="0" borderId="0" xfId="0" applyAlignment="1">
      <alignment horizontal="left"/>
    </xf>
    <xf numFmtId="0" fontId="16" fillId="0" borderId="0" xfId="0" applyFont="1" applyBorder="1" applyAlignment="1">
      <alignment horizontal="lef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0" fillId="0" borderId="0" xfId="0" applyFont="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2" fillId="3" borderId="0" xfId="2" applyFill="1" applyBorder="1" applyAlignment="1">
      <alignment horizontal="left"/>
    </xf>
    <xf numFmtId="0" fontId="12" fillId="3" borderId="12" xfId="2" applyFill="1" applyBorder="1" applyAlignment="1">
      <alignment horizontal="left"/>
    </xf>
    <xf numFmtId="0" fontId="12" fillId="0" borderId="3" xfId="2" applyFill="1" applyBorder="1" applyAlignment="1">
      <alignment horizontal="left"/>
    </xf>
    <xf numFmtId="0" fontId="12" fillId="0" borderId="1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0" fillId="2" borderId="16"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0" borderId="3" xfId="0" applyBorder="1" applyAlignment="1">
      <alignment horizontal="left"/>
    </xf>
    <xf numFmtId="0" fontId="4" fillId="2" borderId="8" xfId="0" applyFont="1" applyFill="1" applyBorder="1" applyAlignment="1" applyProtection="1">
      <alignment horizontal="center" wrapText="1"/>
      <protection locked="0"/>
    </xf>
    <xf numFmtId="0" fontId="4" fillId="2" borderId="10"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A0C2F"/>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850247" cy="42864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654860</xdr:colOff>
      <xdr:row>1</xdr:row>
      <xdr:rowOff>533400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835960" cy="425330"/>
        </a:xfrm>
        <a:prstGeom prst="rect">
          <a:avLst/>
        </a:prstGeom>
      </xdr:spPr>
    </xdr:pic>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7B"/>
      </a:hlink>
      <a:folHlink>
        <a:srgbClr val="05637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ship.html" TargetMode="External"/><Relationship Id="rId1" Type="http://schemas.openxmlformats.org/officeDocument/2006/relationships/hyperlink" Target="https://www.du.edu/health-and-counseling-center/coveragecosts/fees.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50"/>
    </row>
    <row r="2" spans="1:4" ht="47.25" customHeight="1" x14ac:dyDescent="0.35">
      <c r="B2" s="73" t="s">
        <v>64</v>
      </c>
      <c r="C2" s="74"/>
      <c r="D2" s="74"/>
    </row>
    <row r="3" spans="1:4" ht="8.25" customHeight="1" x14ac:dyDescent="0.25">
      <c r="B3" s="20"/>
      <c r="C3" s="22"/>
      <c r="D3" s="22"/>
    </row>
    <row r="4" spans="1:4" ht="66.75" customHeight="1" x14ac:dyDescent="0.25">
      <c r="B4" s="75" t="s">
        <v>88</v>
      </c>
      <c r="C4" s="75"/>
      <c r="D4" s="75"/>
    </row>
    <row r="5" spans="1:4" ht="21.75" customHeight="1" x14ac:dyDescent="0.25">
      <c r="C5"/>
    </row>
    <row r="6" spans="1:4" ht="27" customHeight="1" x14ac:dyDescent="0.25">
      <c r="B6" s="48" t="s">
        <v>54</v>
      </c>
      <c r="C6"/>
    </row>
    <row r="7" spans="1:4" x14ac:dyDescent="0.25">
      <c r="B7" s="49" t="s">
        <v>59</v>
      </c>
    </row>
    <row r="8" spans="1:4" x14ac:dyDescent="0.25">
      <c r="B8" s="49" t="s">
        <v>60</v>
      </c>
    </row>
    <row r="9" spans="1:4" x14ac:dyDescent="0.25">
      <c r="B9" s="49" t="s">
        <v>52</v>
      </c>
    </row>
    <row r="10" spans="1:4" x14ac:dyDescent="0.25">
      <c r="B10" s="49" t="s">
        <v>53</v>
      </c>
    </row>
    <row r="11" spans="1:4" x14ac:dyDescent="0.25">
      <c r="B11" s="49"/>
    </row>
    <row r="12" spans="1:4" x14ac:dyDescent="0.25">
      <c r="B12" s="49"/>
    </row>
    <row r="13" spans="1:4" x14ac:dyDescent="0.25">
      <c r="B13" s="49"/>
    </row>
    <row r="14" spans="1:4" x14ac:dyDescent="0.25">
      <c r="B14" s="49"/>
    </row>
    <row r="15" spans="1:4" x14ac:dyDescent="0.25">
      <c r="B15" s="51"/>
    </row>
    <row r="18" spans="2:4" x14ac:dyDescent="0.25">
      <c r="B18" s="72" t="s">
        <v>89</v>
      </c>
      <c r="C18" s="72"/>
      <c r="D18" s="72"/>
    </row>
  </sheetData>
  <sheetProtection algorithmName="SHA-512" hashValue="FoaVZUQNuQUSJM2WXElqlGWakR03XlV+UMMpvgnMpIxXzl5SA9IZCOwFarKS5H6WEAOZ2crJodtAyN/PoiLhpg==" saltValue="4vs8gEr3k4sfjDcWBAfsGA==" spinCount="100000" sheet="1" objects="1" scenarios="1" selectLockedCells="1"/>
  <mergeCells count="3">
    <mergeCell ref="B18:D18"/>
    <mergeCell ref="B2:D2"/>
    <mergeCell ref="B4:D4"/>
  </mergeCells>
  <hyperlinks>
    <hyperlink ref="B9" location="'West. CO &amp; 4 Corners'!A1" display="Western Colorado or Four Corners Program" xr:uid="{00000000-0004-0000-0000-000000000000}"/>
    <hyperlink ref="B10" location="'MSW@Denver'!A1" display="MSW@Denver Online Program" xr:uid="{00000000-0004-0000-0000-000001000000}"/>
    <hyperlink ref="B7" location="'On-Campus MSW'!A1" display="On-Campus MSW Program" xr:uid="{00000000-0004-0000-0000-000002000000}"/>
    <hyperlink ref="B8" location="'On-Campus PhD'!A1" display="On-Campus PhD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9"/>
  <sheetViews>
    <sheetView showGridLines="0" showRowColHeaders="0" showRuler="0" zoomScaleNormal="100" workbookViewId="0">
      <selection activeCell="G6" sqref="G6:I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6" t="s">
        <v>79</v>
      </c>
      <c r="I2" s="77"/>
      <c r="J2" s="77"/>
      <c r="K2" s="77"/>
      <c r="L2" s="77"/>
      <c r="M2" s="77"/>
      <c r="N2" s="77"/>
      <c r="O2" s="77"/>
    </row>
    <row r="3" spans="2:15" ht="8.25" customHeight="1" x14ac:dyDescent="0.25">
      <c r="B3" s="20"/>
      <c r="C3" s="20"/>
      <c r="D3" s="20"/>
      <c r="E3" s="20"/>
      <c r="F3" s="20"/>
      <c r="G3" s="20"/>
      <c r="H3" s="21"/>
      <c r="I3" s="22"/>
      <c r="J3" s="22"/>
      <c r="K3" s="22"/>
      <c r="L3" s="22"/>
      <c r="M3" s="22"/>
      <c r="N3" s="22"/>
      <c r="O3" s="22"/>
    </row>
    <row r="4" spans="2:15" ht="27.75" customHeight="1" x14ac:dyDescent="0.25">
      <c r="B4" s="55"/>
      <c r="C4" s="63" t="s">
        <v>63</v>
      </c>
      <c r="D4" s="55"/>
      <c r="E4" s="55"/>
      <c r="F4" s="55"/>
      <c r="G4" s="55"/>
      <c r="H4" s="55"/>
      <c r="I4" s="55"/>
      <c r="J4" s="55"/>
      <c r="K4" s="55"/>
      <c r="L4" s="55"/>
      <c r="M4" s="55"/>
      <c r="N4" s="55"/>
      <c r="O4" s="55"/>
    </row>
    <row r="5" spans="2:15" ht="13.5" customHeight="1" x14ac:dyDescent="0.25">
      <c r="B5" s="55"/>
      <c r="C5" s="63"/>
      <c r="D5" s="55"/>
      <c r="E5" s="55"/>
      <c r="F5" s="55"/>
      <c r="G5" s="55"/>
      <c r="H5" s="55"/>
      <c r="I5" s="55"/>
      <c r="J5" s="55"/>
      <c r="K5" s="55"/>
      <c r="L5" s="55"/>
      <c r="M5" s="55"/>
      <c r="N5" s="55"/>
      <c r="O5" s="55"/>
    </row>
    <row r="6" spans="2:15" ht="19.5" customHeight="1" x14ac:dyDescent="0.3">
      <c r="D6" s="71" t="s">
        <v>48</v>
      </c>
      <c r="G6" s="86"/>
      <c r="H6" s="87"/>
      <c r="I6" s="88"/>
      <c r="J6" s="53"/>
      <c r="L6" s="53"/>
      <c r="N6" s="53"/>
    </row>
    <row r="7" spans="2:15" ht="19.5" customHeight="1" x14ac:dyDescent="0.25">
      <c r="J7" s="53"/>
      <c r="L7" s="53"/>
      <c r="N7" s="53"/>
    </row>
    <row r="8" spans="2:15" ht="19.5" customHeight="1" x14ac:dyDescent="0.25">
      <c r="J8" s="53" t="s">
        <v>65</v>
      </c>
      <c r="L8" s="53" t="s">
        <v>66</v>
      </c>
      <c r="N8" s="53" t="s">
        <v>67</v>
      </c>
    </row>
    <row r="9" spans="2:15" ht="18" customHeight="1" x14ac:dyDescent="0.3">
      <c r="D9" s="71" t="s">
        <v>15</v>
      </c>
      <c r="E9" s="31"/>
      <c r="F9" s="31"/>
      <c r="G9" s="31"/>
      <c r="H9" s="31"/>
      <c r="I9" s="31"/>
      <c r="J9" s="52"/>
      <c r="L9" s="52"/>
      <c r="M9" s="23"/>
      <c r="N9" s="52"/>
      <c r="O9" s="31"/>
    </row>
    <row r="10" spans="2:15" ht="6" customHeight="1" x14ac:dyDescent="0.25"/>
    <row r="11" spans="2:15" ht="15.75" thickBot="1" x14ac:dyDescent="0.3">
      <c r="B11" s="1" t="s">
        <v>7</v>
      </c>
      <c r="C11" s="1"/>
      <c r="D11" s="2"/>
      <c r="E11" s="2"/>
      <c r="F11" s="2"/>
      <c r="G11" s="2"/>
      <c r="H11" s="4" t="s">
        <v>3</v>
      </c>
      <c r="I11" s="3"/>
      <c r="J11" s="4" t="s">
        <v>68</v>
      </c>
      <c r="K11" s="3"/>
      <c r="L11" s="4" t="s">
        <v>69</v>
      </c>
      <c r="M11" s="4"/>
      <c r="N11" s="4" t="s">
        <v>70</v>
      </c>
      <c r="O11" s="2"/>
    </row>
    <row r="12" spans="2:15" ht="9" customHeight="1" x14ac:dyDescent="0.25"/>
    <row r="13" spans="2:15" ht="21.75" customHeight="1" x14ac:dyDescent="0.25">
      <c r="B13" s="10" t="s">
        <v>1</v>
      </c>
      <c r="C13" s="10"/>
      <c r="D13" s="78"/>
      <c r="E13" s="78"/>
      <c r="F13" s="11"/>
      <c r="G13" s="11"/>
      <c r="H13" s="12" t="e">
        <f>J13+L13+N13</f>
        <v>#N/A</v>
      </c>
      <c r="I13" s="11"/>
      <c r="J13" s="12" t="e">
        <f>IF(G6="2020 Summer Quarter or Later",(VLOOKUP(J9,Data!F2:G21,2,FALSE)),(VLOOKUP(J9,Data!A2:B21,2,FALSE)))</f>
        <v>#N/A</v>
      </c>
      <c r="K13" s="11"/>
      <c r="L13" s="12" t="e">
        <f>IF(G6="2020 Summer Quarter or Later",(VLOOKUP(L9,Data!F2:G21,2,FALSE)),(VLOOKUP(L9,Data!A2:B21,2,FALSE)))</f>
        <v>#N/A</v>
      </c>
      <c r="M13" s="12"/>
      <c r="N13" s="12" t="e">
        <f>IF(G6="2020 Summer Quarter or Later",(VLOOKUP(N9,Data!F2:G21,2,FALSE)),(VLOOKUP(N9,Data!A2:B21,2,FALSE)))</f>
        <v>#N/A</v>
      </c>
      <c r="O13" s="11"/>
    </row>
    <row r="14" spans="2:15" ht="21.75" customHeight="1" x14ac:dyDescent="0.25">
      <c r="B14" s="56" t="s">
        <v>0</v>
      </c>
      <c r="C14" s="56"/>
    </row>
    <row r="15" spans="2:15" ht="21.75" customHeight="1" x14ac:dyDescent="0.25">
      <c r="B15" s="13" t="s">
        <v>2</v>
      </c>
      <c r="C15" s="13"/>
      <c r="D15" s="11"/>
      <c r="E15" s="11"/>
      <c r="F15" s="11"/>
      <c r="G15" s="11"/>
      <c r="H15" s="12" t="e">
        <f>J15+L15+N15</f>
        <v>#N/A</v>
      </c>
      <c r="I15" s="11"/>
      <c r="J15" s="12" t="e">
        <f>IF(G6="2020 Summer Quarter or Later",(VLOOKUP(J9,Data!F2:H21,3,FALSE)),(VLOOKUP(J9,Data!A2:C21,3,FALSE)))</f>
        <v>#N/A</v>
      </c>
      <c r="K15" s="11"/>
      <c r="L15" s="12" t="e">
        <f>IF(G6="2020 Summer Quarter or Later",(VLOOKUP(L9,Data!F2:H21,3,FALSE)),(VLOOKUP(L9,Data!A2:C21,3,FALSE)))</f>
        <v>#N/A</v>
      </c>
      <c r="M15" s="12"/>
      <c r="N15" s="12" t="e">
        <f>IF(G6="2020 Summer Quarter or Later",(VLOOKUP(N9,Data!F2:H21,3,FALSE)),(VLOOKUP(N9,Data!A2:C21,3,FALSE)))</f>
        <v>#N/A</v>
      </c>
      <c r="O15" s="11"/>
    </row>
    <row r="16" spans="2:15" ht="21.75" customHeight="1" x14ac:dyDescent="0.25">
      <c r="B16" s="45" t="s">
        <v>17</v>
      </c>
      <c r="C16" s="45"/>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79" t="s">
        <v>90</v>
      </c>
      <c r="C17" s="79"/>
      <c r="D17" s="79"/>
      <c r="E17" s="80"/>
      <c r="F17" s="34"/>
      <c r="G17" s="32"/>
      <c r="H17" s="33">
        <f>J17+L17+N17</f>
        <v>0</v>
      </c>
      <c r="I17" s="32"/>
      <c r="J17" s="33">
        <f>IF(AND(F17="Yes", J9&lt;&gt;"not enrolled"), (VLOOKUP(F17, Data!A24:C25, 2, FALSE)), 0)</f>
        <v>0</v>
      </c>
      <c r="K17" s="32"/>
      <c r="L17" s="33">
        <v>0</v>
      </c>
      <c r="M17" s="33"/>
      <c r="N17" s="33">
        <f>IF(AND(F17="Yes", N9&lt;&gt;"not enrolled"), (VLOOKUP(F17, Data!A24:C25, 2, FALSE)), 0)</f>
        <v>0</v>
      </c>
      <c r="O17" s="32"/>
    </row>
    <row r="18" spans="2:15" s="28" customFormat="1" ht="21.75" customHeight="1" x14ac:dyDescent="0.25">
      <c r="B18" s="81" t="s">
        <v>46</v>
      </c>
      <c r="C18" s="81"/>
      <c r="D18" s="81"/>
      <c r="E18" s="82"/>
      <c r="F18" s="54"/>
      <c r="G18" s="35"/>
      <c r="H18" s="36">
        <f>J18+L18+N18</f>
        <v>0</v>
      </c>
      <c r="I18" s="35"/>
      <c r="J18" s="36">
        <f>IF(AND(F18="Yes", J9&lt;&gt;"not enrolled",J9&lt;&gt;"4 credits",J9&lt;&gt;"5 credits"), (VLOOKUP(F18,Data!A24:C25, 3, FALSE)), 0)</f>
        <v>0</v>
      </c>
      <c r="K18" s="35"/>
      <c r="L18" s="36">
        <f>IF(AND(F18="Yes", L9&lt;&gt;"not enrolled",L9&lt;&gt;"4 credits",L9&lt;&gt;"5 credits"), (VLOOKUP(F18, Data!A24:C25, 3, FALSE)), 0)</f>
        <v>0</v>
      </c>
      <c r="M18" s="36"/>
      <c r="N18" s="36">
        <f>IF(AND(F18="Yes", N9&lt;&gt;"not enrolled",N9&lt;&gt;"4 credits",N9&lt;&gt;"5 credits"), (VLOOKUP(F18, Data!A24:C25, 3, FALSE)), 0)</f>
        <v>0</v>
      </c>
      <c r="O18" s="35"/>
    </row>
    <row r="19" spans="2:15" ht="21.75" customHeight="1" x14ac:dyDescent="0.25">
      <c r="D19" s="8" t="s">
        <v>6</v>
      </c>
      <c r="H19" s="9" t="e">
        <f>SUM(H13, H15:H18)</f>
        <v>#N/A</v>
      </c>
      <c r="J19" s="9" t="e">
        <f>SUM(J13,J15:J18)</f>
        <v>#N/A</v>
      </c>
      <c r="L19" s="9" t="e">
        <f>SUM(L13,L15:L18)</f>
        <v>#N/A</v>
      </c>
      <c r="M19" s="9"/>
      <c r="N19" s="9" t="e">
        <f>SUM(N13,N15:N18)</f>
        <v>#N/A</v>
      </c>
    </row>
    <row r="20" spans="2:15" ht="24" customHeight="1" x14ac:dyDescent="0.25"/>
    <row r="21" spans="2:15" ht="15.75" thickBot="1" x14ac:dyDescent="0.3">
      <c r="B21" s="1" t="s">
        <v>11</v>
      </c>
      <c r="C21" s="1"/>
      <c r="D21" s="2"/>
      <c r="E21" s="2"/>
      <c r="F21" s="2"/>
      <c r="G21" s="2"/>
      <c r="H21" s="4" t="s">
        <v>3</v>
      </c>
      <c r="I21" s="3"/>
      <c r="J21" s="4" t="s">
        <v>68</v>
      </c>
      <c r="K21" s="3"/>
      <c r="L21" s="4" t="s">
        <v>69</v>
      </c>
      <c r="M21" s="4"/>
      <c r="N21" s="4" t="s">
        <v>70</v>
      </c>
      <c r="O21" s="2"/>
    </row>
    <row r="22" spans="2:15" ht="21.75" customHeight="1" x14ac:dyDescent="0.25">
      <c r="B22" t="s">
        <v>16</v>
      </c>
      <c r="H22" s="16"/>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1" t="s">
        <v>8</v>
      </c>
      <c r="C23" s="11"/>
      <c r="D23" s="11"/>
      <c r="E23" s="11"/>
      <c r="F23" s="11"/>
      <c r="G23" s="11"/>
      <c r="H23" s="17"/>
      <c r="I23" s="11"/>
      <c r="J23" s="12">
        <f>IF((AND(J9&lt;&gt;"not enrolled", L9&lt;&gt;"not enrolled", N9&lt;&gt;"not enrolled")), (H23/3), IF((AND(J9&lt;&gt;"not enrolled", L9&lt;&gt;"not enrolled", N9="not enrolled")), (H23/2), IF((AND(J9&lt;&gt;"not enrolled", L9="not enrolled", N9="not enrolled")), (H23/1), 0)))</f>
        <v>0</v>
      </c>
      <c r="K23" s="11"/>
      <c r="L23" s="12">
        <f>IF((AND(J9&lt;&gt;"not enrolled", L9&lt;&gt;"not enrolled", N9&lt;&gt;"not enrolled")), (H23/3), IF((AND(J9&lt;&gt;"not enrolled", L9&lt;&gt;"not enrolled", N9="not enrolled")), (H23/2), IF((AND(J9="not enrolled", L9&lt;&gt;"not enrolled", N9&lt;&gt;"not enrolled")), (H23/2), 0)))</f>
        <v>0</v>
      </c>
      <c r="M23" s="12"/>
      <c r="N23" s="12">
        <f>IF((AND(J9&lt;&gt;"not enrolled", L9&lt;&gt;"not enrolled", N9&lt;&gt;"not enrolled")), (H23/3), IF((AND(J9="not enrolled", L9&lt;&gt;"not enrolled", N9&lt;&gt;"not enrolled")), (H23/2), IF((AND(J9="not enrolled", L9="not enrolled", N9&lt;&gt;"not enrolled")), (H23), 0)))</f>
        <v>0</v>
      </c>
      <c r="O23" s="11"/>
    </row>
    <row r="24" spans="2:15" ht="21.75" customHeight="1" x14ac:dyDescent="0.25">
      <c r="B24" t="s">
        <v>19</v>
      </c>
      <c r="F24" s="18"/>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1" t="s">
        <v>20</v>
      </c>
      <c r="C25" s="11"/>
      <c r="D25" s="11"/>
      <c r="E25" s="11"/>
      <c r="F25" s="18"/>
      <c r="G25" s="11"/>
      <c r="H25" s="12">
        <f>SUM(J25,L25,N25)</f>
        <v>0</v>
      </c>
      <c r="I25" s="11"/>
      <c r="J25" s="12">
        <f>IF((AND(J9&lt;&gt;"not enrolled", L9&lt;&gt;"not enrolled", N9&lt;&gt;"not enrolled")), ROUND(((F25-(F25*0.04228))/3),0), IF((AND(J9&lt;&gt;"not enrolled", L9&lt;&gt;"not enrolled", N9="not enrolled")), ROUND(((F25-(F25*0.04228))/2),0), IF((AND(J9&lt;&gt;"not enrolled", L9="not enrolled", N9="not enrolled")), ROUND(((F25-(F25*0.04228))/1),0), 0)))</f>
        <v>0</v>
      </c>
      <c r="K25" s="11"/>
      <c r="L25" s="12">
        <f>IF((AND(J9&lt;&gt;"not enrolled", L9&lt;&gt;"not enrolled", N9&lt;&gt;"not enrolled")), ROUND(((F25-(F25*0.04228))/3),0), IF((AND(J9&lt;&gt;"not enrolled", L9&lt;&gt;"not enrolled", N9="not enrolled")), ROUND(((F25-(F25*0.04228))/2),0), IF((AND(J9="not enrolled", L9&lt;&gt;"not enrolled", N9&lt;&gt;"not enrolled")), ROUND(((F25-(F25*0.04228))/2),0), 0)))</f>
        <v>0</v>
      </c>
      <c r="M25" s="12"/>
      <c r="N25" s="12">
        <f>IF((AND(J9&lt;&gt;"not enrolled", L9&lt;&gt;"not enrolled", N9&lt;&gt;"not enrolled")), ROUND(((F25-(F25*0.04228))/3),0), IF((AND(J9="not enrolled", L9&lt;&gt;"not enrolled", N9&lt;&gt;"not enrolled")), ROUND(((F25-(F25*0.04228))/2),0), IF((AND(J9="not enrolled", L9="not enrolled", N9&lt;&gt;"not enrolled")), ROUND(((F25-(F25*0.04228))/1),0), 0)))</f>
        <v>0</v>
      </c>
      <c r="O25" s="11"/>
    </row>
    <row r="26" spans="2:15" ht="21.75" customHeight="1" x14ac:dyDescent="0.25">
      <c r="B26" s="83" t="s">
        <v>22</v>
      </c>
      <c r="C26" s="83"/>
      <c r="D26" s="83"/>
      <c r="E26" s="83"/>
      <c r="F26" s="83"/>
      <c r="H26" s="17"/>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84" t="s">
        <v>23</v>
      </c>
      <c r="C27" s="84"/>
      <c r="D27" s="84"/>
      <c r="E27" s="84"/>
      <c r="F27" s="84"/>
      <c r="G27" s="84"/>
      <c r="H27" s="30">
        <f>J27+L27+N27</f>
        <v>0</v>
      </c>
      <c r="I27" s="29"/>
      <c r="J27" s="19"/>
      <c r="K27" s="29"/>
      <c r="L27" s="19"/>
      <c r="M27" s="37"/>
      <c r="N27" s="62"/>
      <c r="O27" s="29"/>
    </row>
    <row r="28" spans="2:15" ht="21.75" customHeight="1" x14ac:dyDescent="0.25">
      <c r="D28" s="8" t="s">
        <v>10</v>
      </c>
      <c r="H28" s="5">
        <f>SUM(H22:H27)</f>
        <v>0</v>
      </c>
      <c r="J28" s="5">
        <f>SUM(J22:J27)</f>
        <v>0</v>
      </c>
      <c r="L28" s="5">
        <f>SUM(L22:L26,L27)</f>
        <v>0</v>
      </c>
      <c r="N28" s="5">
        <f>SUM(N22:N26,N27)</f>
        <v>0</v>
      </c>
    </row>
    <row r="29" spans="2:15" ht="15.75" thickBot="1" x14ac:dyDescent="0.3"/>
    <row r="30" spans="2:15" ht="21.75" customHeight="1" thickTop="1" thickBot="1" x14ac:dyDescent="0.35">
      <c r="B30" s="15" t="s">
        <v>12</v>
      </c>
      <c r="C30" s="15"/>
      <c r="D30" s="14"/>
      <c r="E30" s="14"/>
      <c r="F30" s="14"/>
      <c r="G30" s="14"/>
      <c r="H30" s="26" t="e">
        <f>H19-H28</f>
        <v>#N/A</v>
      </c>
      <c r="I30" s="27"/>
      <c r="J30" s="26" t="e">
        <f>J19-J28</f>
        <v>#N/A</v>
      </c>
      <c r="K30" s="27"/>
      <c r="L30" s="26" t="e">
        <f>L19-L28</f>
        <v>#N/A</v>
      </c>
      <c r="M30" s="26"/>
      <c r="N30" s="26" t="e">
        <f>N19-N28</f>
        <v>#N/A</v>
      </c>
      <c r="O30" s="14"/>
    </row>
    <row r="31" spans="2:15" ht="15.75" thickTop="1" x14ac:dyDescent="0.25"/>
    <row r="32" spans="2:15" x14ac:dyDescent="0.25">
      <c r="B32" s="8" t="s">
        <v>13</v>
      </c>
      <c r="C32" s="8"/>
    </row>
    <row r="33" spans="2:15" ht="21.75" customHeight="1" x14ac:dyDescent="0.25">
      <c r="B33" s="61">
        <v>1</v>
      </c>
      <c r="C33" s="59" t="str">
        <f>IF(G6="2020 Summer Quarter or Later",Data!J2,Data!J3)</f>
        <v>Tuition for the 2023-2024 academic year is $1,612 per credit. If enrolled in 12-18 credits, tuition will be charged a flat rate of $19,344.</v>
      </c>
      <c r="D33" s="60"/>
      <c r="E33" s="60"/>
      <c r="F33" s="60"/>
      <c r="G33" s="60"/>
      <c r="H33" s="60"/>
      <c r="I33" s="60"/>
      <c r="J33" s="60"/>
      <c r="K33" s="60"/>
      <c r="L33" s="60"/>
      <c r="M33" s="60"/>
      <c r="N33" s="60"/>
      <c r="O33" s="60"/>
    </row>
    <row r="34" spans="2:15" ht="18" customHeight="1" x14ac:dyDescent="0.25">
      <c r="B34" s="58">
        <v>2</v>
      </c>
      <c r="C34" s="59" t="s">
        <v>47</v>
      </c>
      <c r="D34" s="59"/>
      <c r="E34" s="59"/>
      <c r="F34" s="59"/>
      <c r="G34" s="59"/>
      <c r="H34" s="59"/>
      <c r="I34" s="59"/>
      <c r="J34" s="59"/>
      <c r="K34" s="59"/>
      <c r="L34" s="59"/>
      <c r="M34" s="59"/>
      <c r="N34" s="59"/>
      <c r="O34" s="59"/>
    </row>
    <row r="35" spans="2:15" ht="18" customHeight="1" x14ac:dyDescent="0.25">
      <c r="B35" s="58">
        <v>3</v>
      </c>
      <c r="C35" t="s">
        <v>55</v>
      </c>
    </row>
    <row r="36" spans="2:15" ht="46.5" customHeight="1" x14ac:dyDescent="0.25">
      <c r="B36" s="57">
        <v>4</v>
      </c>
      <c r="C36" s="85" t="s">
        <v>56</v>
      </c>
      <c r="D36" s="85"/>
      <c r="E36" s="85"/>
      <c r="F36" s="85"/>
      <c r="G36" s="85"/>
      <c r="H36" s="85"/>
      <c r="I36" s="85"/>
      <c r="J36" s="85"/>
      <c r="K36" s="85"/>
      <c r="L36" s="85"/>
      <c r="M36" s="85"/>
      <c r="N36" s="85"/>
      <c r="O36" s="85"/>
    </row>
    <row r="37" spans="2:15" ht="21.75" customHeight="1" x14ac:dyDescent="0.25"/>
    <row r="39" spans="2:15" x14ac:dyDescent="0.25">
      <c r="B39" s="72" t="s">
        <v>89</v>
      </c>
      <c r="C39" s="72"/>
      <c r="D39" s="72"/>
      <c r="E39" s="72"/>
      <c r="F39" s="72"/>
      <c r="G39" s="72"/>
      <c r="H39" s="72"/>
      <c r="I39" s="72"/>
      <c r="J39" s="72"/>
      <c r="K39" s="72"/>
      <c r="L39" s="72"/>
      <c r="M39" s="72"/>
      <c r="N39" s="72"/>
      <c r="O39" s="72"/>
    </row>
  </sheetData>
  <sheetProtection algorithmName="SHA-512" hashValue="SFQ/vHii6ERsToudThIpnSO/FZH2sHH8NcI/oWLiKD/x/ghZ8dnJ66J3O4NRsCxuJNyeE3emtf2yCynCGGCCnA==" saltValue="NzChRSPo05IQIwAdiFdwrw==" spinCount="100000" sheet="1" objects="1" scenarios="1" selectLockedCells="1"/>
  <mergeCells count="9">
    <mergeCell ref="H2:O2"/>
    <mergeCell ref="D13:E13"/>
    <mergeCell ref="B39:O39"/>
    <mergeCell ref="B17:E17"/>
    <mergeCell ref="B18:E18"/>
    <mergeCell ref="B26:F26"/>
    <mergeCell ref="B27:G27"/>
    <mergeCell ref="C36:O36"/>
    <mergeCell ref="G6:I6"/>
  </mergeCells>
  <hyperlinks>
    <hyperlink ref="B17" r:id="rId1" display="Will you enroll in DU's health insurance plan?" xr:uid="{00000000-0004-0000-0100-000000000000}"/>
    <hyperlink ref="B18"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Data!$A$2:$A$21</xm:f>
          </x14:formula1>
          <xm:sqref>J9 N9 L9</xm:sqref>
        </x14:dataValidation>
        <x14:dataValidation type="list" allowBlank="1" showInputMessage="1" showErrorMessage="1" xr:uid="{00000000-0002-0000-0100-000001000000}">
          <x14:formula1>
            <xm:f>Data!$A$27:$A$28</xm:f>
          </x14:formula1>
          <xm:sqref>G6</xm:sqref>
        </x14:dataValidation>
        <x14:dataValidation type="list" allowBlank="1" showInputMessage="1" showErrorMessage="1" xr:uid="{00000000-0002-0000-0100-000002000000}">
          <x14:formula1>
            <xm:f>Data!$A$24:$A$25</xm:f>
          </x14:formula1>
          <xm:sqref>F17:F18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G5" sqref="G5:I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6" t="s">
        <v>80</v>
      </c>
      <c r="I2" s="77"/>
      <c r="J2" s="77"/>
      <c r="K2" s="77"/>
      <c r="L2" s="77"/>
      <c r="M2" s="77"/>
      <c r="N2" s="77"/>
      <c r="O2" s="77"/>
    </row>
    <row r="3" spans="2:15" ht="8.25" customHeight="1" x14ac:dyDescent="0.25">
      <c r="B3" s="20"/>
      <c r="C3" s="20"/>
      <c r="D3" s="20"/>
      <c r="E3" s="20"/>
      <c r="F3" s="20"/>
      <c r="G3" s="20"/>
      <c r="H3" s="21"/>
      <c r="I3" s="22"/>
      <c r="J3" s="22"/>
      <c r="K3" s="22"/>
      <c r="L3" s="22"/>
      <c r="M3" s="22"/>
      <c r="N3" s="22"/>
      <c r="O3" s="22"/>
    </row>
    <row r="4" spans="2:15" ht="13.5" customHeight="1" x14ac:dyDescent="0.25">
      <c r="B4" s="55"/>
      <c r="C4" s="63"/>
      <c r="D4" s="55"/>
      <c r="E4" s="55"/>
      <c r="F4" s="55"/>
      <c r="G4" s="55"/>
      <c r="H4" s="55"/>
      <c r="I4" s="55"/>
      <c r="J4" s="55"/>
      <c r="K4" s="55"/>
      <c r="L4" s="55"/>
      <c r="M4" s="55"/>
      <c r="N4" s="55"/>
      <c r="O4" s="55"/>
    </row>
    <row r="5" spans="2:15" ht="19.5" customHeight="1" x14ac:dyDescent="0.3">
      <c r="D5" s="71" t="s">
        <v>48</v>
      </c>
      <c r="G5" s="86"/>
      <c r="H5" s="87"/>
      <c r="I5" s="88"/>
      <c r="J5" s="53"/>
      <c r="L5" s="53"/>
      <c r="N5" s="53"/>
    </row>
    <row r="6" spans="2:15" ht="19.5" customHeight="1" x14ac:dyDescent="0.25">
      <c r="J6" s="53"/>
      <c r="L6" s="53"/>
      <c r="N6" s="53"/>
    </row>
    <row r="7" spans="2:15" ht="19.5" customHeight="1" x14ac:dyDescent="0.25">
      <c r="J7" s="53" t="s">
        <v>65</v>
      </c>
      <c r="L7" s="53" t="s">
        <v>66</v>
      </c>
      <c r="N7" s="53" t="s">
        <v>67</v>
      </c>
    </row>
    <row r="8" spans="2:15" ht="18" customHeight="1" x14ac:dyDescent="0.3">
      <c r="D8" s="71" t="s">
        <v>15</v>
      </c>
      <c r="E8" s="31"/>
      <c r="F8" s="31"/>
      <c r="G8" s="31"/>
      <c r="H8" s="31"/>
      <c r="I8" s="31"/>
      <c r="J8" s="52"/>
      <c r="L8" s="52"/>
      <c r="M8" s="23"/>
      <c r="N8" s="52"/>
      <c r="O8" s="31"/>
    </row>
    <row r="9" spans="2:15" ht="6" customHeight="1" x14ac:dyDescent="0.25"/>
    <row r="10" spans="2:15" ht="15.75" thickBot="1" x14ac:dyDescent="0.3">
      <c r="B10" s="1" t="s">
        <v>7</v>
      </c>
      <c r="C10" s="1"/>
      <c r="D10" s="2"/>
      <c r="E10" s="2"/>
      <c r="F10" s="2"/>
      <c r="G10" s="2"/>
      <c r="H10" s="4" t="s">
        <v>3</v>
      </c>
      <c r="I10" s="3"/>
      <c r="J10" s="4" t="s">
        <v>68</v>
      </c>
      <c r="K10" s="3"/>
      <c r="L10" s="4" t="s">
        <v>69</v>
      </c>
      <c r="M10" s="4"/>
      <c r="N10" s="4" t="s">
        <v>70</v>
      </c>
      <c r="O10" s="2"/>
    </row>
    <row r="11" spans="2:15" ht="9" customHeight="1" x14ac:dyDescent="0.25"/>
    <row r="12" spans="2:15" ht="21.75" customHeight="1" x14ac:dyDescent="0.25">
      <c r="B12" s="10" t="s">
        <v>1</v>
      </c>
      <c r="C12" s="10"/>
      <c r="D12" s="78"/>
      <c r="E12" s="78"/>
      <c r="F12" s="11"/>
      <c r="G12" s="11"/>
      <c r="H12" s="12" t="e">
        <f>J12+L12+N12</f>
        <v>#N/A</v>
      </c>
      <c r="I12" s="11"/>
      <c r="J12" s="12" t="e">
        <f>IF(G5="2020 Fall Quarter or Later",(VLOOKUP(J8,Data!A45:D64,2,FALSE)),(VLOOKUP(J8,Data!A2:B21,2,FALSE)))</f>
        <v>#N/A</v>
      </c>
      <c r="K12" s="11"/>
      <c r="L12" s="12" t="e">
        <f>IF(G5="2020 Fall Quarter or Later",(VLOOKUP(L8,Data!A45:D64,2,FALSE)),(VLOOKUP(L8,Data!A2:B21,2,FALSE)))</f>
        <v>#N/A</v>
      </c>
      <c r="M12" s="12"/>
      <c r="N12" s="12" t="e">
        <f>IF(G5="2020 Fall Quarter or Later",(VLOOKUP(N8,Data!A45:D64,2,FALSE)),(VLOOKUP(N8,Data!A2:B21,2,FALSE)))</f>
        <v>#N/A</v>
      </c>
      <c r="O12" s="11"/>
    </row>
    <row r="13" spans="2:15" ht="21.75" customHeight="1" x14ac:dyDescent="0.25">
      <c r="B13" s="70" t="s">
        <v>0</v>
      </c>
      <c r="C13" s="70"/>
    </row>
    <row r="14" spans="2:15" ht="21.75" customHeight="1" x14ac:dyDescent="0.25">
      <c r="B14" s="13" t="s">
        <v>2</v>
      </c>
      <c r="C14" s="13"/>
      <c r="D14" s="11"/>
      <c r="E14" s="11"/>
      <c r="F14" s="11"/>
      <c r="G14" s="11"/>
      <c r="H14" s="12" t="e">
        <f>J14+L14+N14</f>
        <v>#N/A</v>
      </c>
      <c r="I14" s="11"/>
      <c r="J14" s="12" t="e">
        <f>IF(G5="2020 Fall Quarter or Later",(VLOOKUP(J8,Data!A45:C64,3,FALSE)),(VLOOKUP(J8,Data!A2:C21,3,FALSE)))</f>
        <v>#N/A</v>
      </c>
      <c r="K14" s="11"/>
      <c r="L14" s="12" t="e">
        <f>IF(G5="2020 Fall Quarter or Later",(VLOOKUP(L8,Data!A45:C64,3,FALSE)),(VLOOKUP(L8,Data!A2:C21,3,FALSE)))</f>
        <v>#N/A</v>
      </c>
      <c r="M14" s="12"/>
      <c r="N14" s="12" t="e">
        <f>IF(G5="2020 Fall Quarter or Later",(VLOOKUP(N8,Data!A45:C64,3,FALSE)),(VLOOKUP(N8,Data!A2:C21,3,FALSE)))</f>
        <v>#N/A</v>
      </c>
      <c r="O14" s="11"/>
    </row>
    <row r="15" spans="2:15" ht="21.75" customHeight="1" x14ac:dyDescent="0.25">
      <c r="B15" s="45" t="s">
        <v>17</v>
      </c>
      <c r="C15" s="45"/>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79" t="s">
        <v>90</v>
      </c>
      <c r="C16" s="79"/>
      <c r="D16" s="79"/>
      <c r="E16" s="80"/>
      <c r="F16" s="34"/>
      <c r="G16" s="32"/>
      <c r="H16" s="33">
        <f>J16+L16+N16</f>
        <v>0</v>
      </c>
      <c r="I16" s="32"/>
      <c r="J16" s="33">
        <f>IF(AND(F16="Yes", J8&lt;&gt;"not enrolled"), (VLOOKUP(F16, Data!A24:C25, 2, FALSE)), 0)</f>
        <v>0</v>
      </c>
      <c r="K16" s="32"/>
      <c r="L16" s="33">
        <v>0</v>
      </c>
      <c r="M16" s="33"/>
      <c r="N16" s="33">
        <f>IF(AND(F16="Yes", N8&lt;&gt;"not enrolled"), (VLOOKUP(F16, Data!A24:C25, 2, FALSE)), 0)</f>
        <v>0</v>
      </c>
      <c r="O16" s="32"/>
    </row>
    <row r="17" spans="2:15" s="28" customFormat="1" ht="21.75" customHeight="1" x14ac:dyDescent="0.25">
      <c r="B17" s="81" t="s">
        <v>46</v>
      </c>
      <c r="C17" s="81"/>
      <c r="D17" s="81"/>
      <c r="E17" s="82"/>
      <c r="F17" s="54"/>
      <c r="G17" s="35"/>
      <c r="H17" s="36">
        <f>J17+L17+N17</f>
        <v>0</v>
      </c>
      <c r="I17" s="35"/>
      <c r="J17" s="36">
        <f>IF(AND(F17="Yes", J8&lt;&gt;"not enrolled",J8&lt;&gt;"4 credits",J8&lt;&gt;"5 credits"), (VLOOKUP(F17,Data!A24:C25, 3, FALSE)), 0)</f>
        <v>0</v>
      </c>
      <c r="K17" s="35"/>
      <c r="L17" s="36">
        <f>IF(AND(F17="Yes", L8&lt;&gt;"not enrolled",L8&lt;&gt;"4 credits",L8&lt;&gt;"5 credits"), (VLOOKUP(F17, Data!A24:C25, 3, FALSE)), 0)</f>
        <v>0</v>
      </c>
      <c r="M17" s="36"/>
      <c r="N17" s="36">
        <f>IF(AND(F17="Yes", N8&lt;&gt;"not enrolled",N8&lt;&gt;"4 credits",N8&lt;&gt;"5 credits"), (VLOOKUP(F17, Data!A24:C25, 3, FALSE)), 0)</f>
        <v>0</v>
      </c>
      <c r="O17" s="35"/>
    </row>
    <row r="18" spans="2:15" ht="21.75" customHeight="1" x14ac:dyDescent="0.25">
      <c r="D18" s="8" t="s">
        <v>6</v>
      </c>
      <c r="H18" s="9" t="e">
        <f>SUM(H12, H14:H17)</f>
        <v>#N/A</v>
      </c>
      <c r="J18" s="9" t="e">
        <f>SUM(J12,J14:J17)</f>
        <v>#N/A</v>
      </c>
      <c r="L18" s="9" t="e">
        <f>SUM(L12,L14:L17)</f>
        <v>#N/A</v>
      </c>
      <c r="M18" s="9"/>
      <c r="N18" s="9" t="e">
        <f>SUM(N12,N14:N17)</f>
        <v>#N/A</v>
      </c>
    </row>
    <row r="19" spans="2:15" ht="24" customHeight="1" x14ac:dyDescent="0.25"/>
    <row r="20" spans="2:15" ht="15.75" thickBot="1" x14ac:dyDescent="0.3">
      <c r="B20" s="1" t="s">
        <v>11</v>
      </c>
      <c r="C20" s="1"/>
      <c r="D20" s="2"/>
      <c r="E20" s="2"/>
      <c r="F20" s="2"/>
      <c r="G20" s="2"/>
      <c r="H20" s="4" t="s">
        <v>3</v>
      </c>
      <c r="I20" s="3"/>
      <c r="J20" s="4" t="s">
        <v>68</v>
      </c>
      <c r="K20" s="3"/>
      <c r="L20" s="4" t="s">
        <v>69</v>
      </c>
      <c r="M20" s="4"/>
      <c r="N20" s="4" t="s">
        <v>70</v>
      </c>
      <c r="O20" s="2"/>
    </row>
    <row r="21" spans="2:15" ht="21.75" customHeight="1" x14ac:dyDescent="0.25">
      <c r="B21" t="s">
        <v>16</v>
      </c>
      <c r="H21" s="16"/>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1" t="s">
        <v>8</v>
      </c>
      <c r="C22" s="11"/>
      <c r="D22" s="11"/>
      <c r="E22" s="11"/>
      <c r="F22" s="11"/>
      <c r="G22" s="11"/>
      <c r="H22" s="17"/>
      <c r="I22" s="11"/>
      <c r="J22" s="12">
        <f>IF((AND(J8&lt;&gt;"not enrolled", L8&lt;&gt;"not enrolled", N8&lt;&gt;"not enrolled")), (H22/3), IF((AND(J8&lt;&gt;"not enrolled", L8&lt;&gt;"not enrolled", N8="not enrolled")), (H22/2), IF((AND(J8&lt;&gt;"not enrolled", L8="not enrolled", N8="not enrolled")), (H22/1), 0)))</f>
        <v>0</v>
      </c>
      <c r="K22" s="11"/>
      <c r="L22" s="12">
        <f>IF((AND(J8&lt;&gt;"not enrolled", L8&lt;&gt;"not enrolled", N8&lt;&gt;"not enrolled")), (H22/3), IF((AND(J8&lt;&gt;"not enrolled", L8&lt;&gt;"not enrolled", N8="not enrolled")), (H22/2), IF((AND(J8="not enrolled", L8&lt;&gt;"not enrolled", N8&lt;&gt;"not enrolled")), (H22/2), 0)))</f>
        <v>0</v>
      </c>
      <c r="M22" s="12"/>
      <c r="N22" s="12">
        <f>IF((AND(J8&lt;&gt;"not enrolled", L8&lt;&gt;"not enrolled", N8&lt;&gt;"not enrolled")), (H22/3), IF((AND(J8="not enrolled", L8&lt;&gt;"not enrolled", N8&lt;&gt;"not enrolled")), (H22/2), IF((AND(J8="not enrolled", L8="not enrolled", N8&lt;&gt;"not enrolled")), (H22), 0)))</f>
        <v>0</v>
      </c>
      <c r="O22" s="11"/>
    </row>
    <row r="23" spans="2:15" ht="21.75" customHeight="1" x14ac:dyDescent="0.25">
      <c r="B23" t="s">
        <v>19</v>
      </c>
      <c r="F23" s="18"/>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1" t="s">
        <v>20</v>
      </c>
      <c r="C24" s="11"/>
      <c r="D24" s="11"/>
      <c r="E24" s="11"/>
      <c r="F24" s="18"/>
      <c r="G24" s="11"/>
      <c r="H24" s="12">
        <f>SUM(J24,L24,N24)</f>
        <v>0</v>
      </c>
      <c r="I24" s="11"/>
      <c r="J24" s="12">
        <f>IF((AND(J8&lt;&gt;"not enrolled", L8&lt;&gt;"not enrolled", N8&lt;&gt;"not enrolled")), ROUND(((F24-(F24*0.04228))/3),0), IF((AND(J8&lt;&gt;"not enrolled", L8&lt;&gt;"not enrolled", N8="not enrolled")), ROUND(((F24-(F24*0.04228))/2),0), IF((AND(J8&lt;&gt;"not enrolled", L8="not enrolled", N8="not enrolled")), ROUND(((F24-(F24*0.04228))/1),0), 0)))</f>
        <v>0</v>
      </c>
      <c r="K24" s="11"/>
      <c r="L24" s="12">
        <f>IF((AND(J8&lt;&gt;"not enrolled", L8&lt;&gt;"not enrolled", N8&lt;&gt;"not enrolled")), ROUND(((F24-(F24*0.04228))/3),0), IF((AND(J8&lt;&gt;"not enrolled", L8&lt;&gt;"not enrolled", N8="not enrolled")), ROUND(((F24-(F24*0.04228))/2),0), IF((AND(J8="not enrolled", L8&lt;&gt;"not enrolled", N8&lt;&gt;"not enrolled")), ROUND(((F24-(F24*0.04228))/2),0), 0)))</f>
        <v>0</v>
      </c>
      <c r="M24" s="12"/>
      <c r="N24" s="12">
        <f>IF((AND(J8&lt;&gt;"not enrolled", L8&lt;&gt;"not enrolled", N8&lt;&gt;"not enrolled")), ROUND(((F24-(F24*0.04228))/3),0), IF((AND(J8="not enrolled", L8&lt;&gt;"not enrolled", N8&lt;&gt;"not enrolled")), ROUND(((F24-(F24*0.04228))/2),0), IF((AND(J8="not enrolled", L8="not enrolled", N8&lt;&gt;"not enrolled")), ROUND(((F24-(F24*0.04228))/1),0), 0)))</f>
        <v>0</v>
      </c>
      <c r="O24" s="11"/>
    </row>
    <row r="25" spans="2:15" ht="21.75" customHeight="1" x14ac:dyDescent="0.25">
      <c r="B25" s="83" t="s">
        <v>22</v>
      </c>
      <c r="C25" s="83"/>
      <c r="D25" s="83"/>
      <c r="E25" s="83"/>
      <c r="F25" s="83"/>
      <c r="H25" s="17"/>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84" t="s">
        <v>23</v>
      </c>
      <c r="C26" s="84"/>
      <c r="D26" s="84"/>
      <c r="E26" s="84"/>
      <c r="F26" s="84"/>
      <c r="G26" s="84"/>
      <c r="H26" s="30">
        <f>J26+L26+N26</f>
        <v>0</v>
      </c>
      <c r="I26" s="29"/>
      <c r="J26" s="19"/>
      <c r="K26" s="29"/>
      <c r="L26" s="19"/>
      <c r="M26" s="37"/>
      <c r="N26" s="62"/>
      <c r="O26" s="29"/>
    </row>
    <row r="27" spans="2:15" ht="21.75" customHeight="1" x14ac:dyDescent="0.25">
      <c r="D27" s="8" t="s">
        <v>10</v>
      </c>
      <c r="H27" s="5">
        <f>SUM(H21:H26)</f>
        <v>0</v>
      </c>
      <c r="J27" s="5">
        <f>SUM(J21:J26)</f>
        <v>0</v>
      </c>
      <c r="L27" s="5">
        <f>SUM(L21:L25,L26)</f>
        <v>0</v>
      </c>
      <c r="N27" s="5">
        <f>SUM(N21:N25,N26)</f>
        <v>0</v>
      </c>
    </row>
    <row r="28" spans="2:15" ht="15.75" thickBot="1" x14ac:dyDescent="0.3"/>
    <row r="29" spans="2:15" ht="21.75" customHeight="1" thickTop="1" thickBot="1" x14ac:dyDescent="0.35">
      <c r="B29" s="15" t="s">
        <v>12</v>
      </c>
      <c r="C29" s="15"/>
      <c r="D29" s="14"/>
      <c r="E29" s="14"/>
      <c r="F29" s="14"/>
      <c r="G29" s="14"/>
      <c r="H29" s="26" t="e">
        <f>H18-H27</f>
        <v>#N/A</v>
      </c>
      <c r="I29" s="27"/>
      <c r="J29" s="26" t="e">
        <f>J18-J27</f>
        <v>#N/A</v>
      </c>
      <c r="K29" s="27"/>
      <c r="L29" s="26" t="e">
        <f>L18-L27</f>
        <v>#N/A</v>
      </c>
      <c r="M29" s="26"/>
      <c r="N29" s="26" t="e">
        <f>N18-N27</f>
        <v>#N/A</v>
      </c>
      <c r="O29" s="14"/>
    </row>
    <row r="30" spans="2:15" ht="15.75" thickTop="1" x14ac:dyDescent="0.25"/>
    <row r="31" spans="2:15" x14ac:dyDescent="0.25">
      <c r="B31" s="8" t="s">
        <v>13</v>
      </c>
      <c r="C31" s="8"/>
    </row>
    <row r="32" spans="2:15" ht="21.75" customHeight="1" x14ac:dyDescent="0.25">
      <c r="B32" s="61">
        <v>1</v>
      </c>
      <c r="C32" s="59" t="str">
        <f>IF(G5="2020 Fall Quarter or Later",Data!J4,Data!J3)</f>
        <v>Tuition for the 2023-2024 academic year is $1,612 per credit. If enrolled in 12-18 credits, tuition will be charged a flat rate of $19,344.</v>
      </c>
      <c r="D32" s="60"/>
      <c r="E32" s="60"/>
      <c r="F32" s="60"/>
      <c r="G32" s="60"/>
      <c r="H32" s="60"/>
      <c r="I32" s="60"/>
      <c r="J32" s="60"/>
      <c r="K32" s="60"/>
      <c r="L32" s="60"/>
      <c r="M32" s="60"/>
      <c r="N32" s="60"/>
      <c r="O32" s="60"/>
    </row>
    <row r="33" spans="2:15" ht="18" customHeight="1" x14ac:dyDescent="0.25">
      <c r="B33" s="58">
        <v>2</v>
      </c>
      <c r="C33" s="59" t="s">
        <v>47</v>
      </c>
      <c r="D33" s="59"/>
      <c r="E33" s="59"/>
      <c r="F33" s="59"/>
      <c r="G33" s="59"/>
      <c r="H33" s="59"/>
      <c r="I33" s="59"/>
      <c r="J33" s="59"/>
      <c r="K33" s="59"/>
      <c r="L33" s="59"/>
      <c r="M33" s="59"/>
      <c r="N33" s="59"/>
      <c r="O33" s="59"/>
    </row>
    <row r="34" spans="2:15" ht="18" customHeight="1" x14ac:dyDescent="0.25">
      <c r="B34" s="58">
        <v>3</v>
      </c>
      <c r="C34" t="s">
        <v>55</v>
      </c>
    </row>
    <row r="35" spans="2:15" ht="46.5" customHeight="1" x14ac:dyDescent="0.25">
      <c r="B35" s="57">
        <v>4</v>
      </c>
      <c r="C35" s="85" t="s">
        <v>56</v>
      </c>
      <c r="D35" s="85"/>
      <c r="E35" s="85"/>
      <c r="F35" s="85"/>
      <c r="G35" s="85"/>
      <c r="H35" s="85"/>
      <c r="I35" s="85"/>
      <c r="J35" s="85"/>
      <c r="K35" s="85"/>
      <c r="L35" s="85"/>
      <c r="M35" s="85"/>
      <c r="N35" s="85"/>
      <c r="O35" s="85"/>
    </row>
    <row r="36" spans="2:15" ht="21.75" customHeight="1" x14ac:dyDescent="0.25"/>
    <row r="38" spans="2:15" x14ac:dyDescent="0.25">
      <c r="B38" s="72" t="s">
        <v>14</v>
      </c>
      <c r="C38" s="72"/>
      <c r="D38" s="72"/>
      <c r="E38" s="72"/>
      <c r="F38" s="72"/>
      <c r="G38" s="72"/>
      <c r="H38" s="72"/>
      <c r="I38" s="72"/>
      <c r="J38" s="72"/>
      <c r="K38" s="72"/>
      <c r="L38" s="72"/>
      <c r="M38" s="72"/>
      <c r="N38" s="72"/>
      <c r="O38" s="72"/>
    </row>
  </sheetData>
  <sheetProtection algorithmName="SHA-512" hashValue="w19CJjONhHIiMuy5hwpNKLIiZ+3b1zXQ25Row9ldOTd9AqDRR/ss3acmwps19xJeVmo4837TfCJjvueQBits1g==" saltValue="8w+M44Ba3zQ5PANgMXaq0w==" spinCount="100000" sheet="1" objects="1" scenarios="1" selectLockedCells="1"/>
  <mergeCells count="9">
    <mergeCell ref="B26:G26"/>
    <mergeCell ref="C35:O35"/>
    <mergeCell ref="B38:O38"/>
    <mergeCell ref="H2:O2"/>
    <mergeCell ref="G5:I5"/>
    <mergeCell ref="D12:E12"/>
    <mergeCell ref="B16:E16"/>
    <mergeCell ref="B17:E17"/>
    <mergeCell ref="B25:F25"/>
  </mergeCells>
  <hyperlinks>
    <hyperlink ref="B16" r:id="rId1" display="Will you enroll in DU's health insurance plan?" xr:uid="{00000000-0004-0000-0200-000000000000}"/>
    <hyperlink ref="B17"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Data!$A$24:$A$25</xm:f>
          </x14:formula1>
          <xm:sqref>F16:F17</xm:sqref>
        </x14:dataValidation>
        <x14:dataValidation type="list" allowBlank="1" showInputMessage="1" showErrorMessage="1" xr:uid="{00000000-0002-0000-0200-000001000000}">
          <x14:formula1>
            <xm:f>Data!$A$2:$A$21</xm:f>
          </x14:formula1>
          <xm:sqref>J8 N8 L8</xm:sqref>
        </x14:dataValidation>
        <x14:dataValidation type="list" allowBlank="1" showInputMessage="1" showErrorMessage="1" xr:uid="{00000000-0002-0000-0200-000002000000}">
          <x14:formula1>
            <xm:f>Data!$A$30:$A$31</xm:f>
          </x14:formula1>
          <xm:sqref>G5:I5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7109375" customWidth="1"/>
    <col min="5" max="5" width="11.42578125" customWidth="1"/>
    <col min="7" max="7" width="13.140625" style="5" customWidth="1"/>
    <col min="8" max="8" width="4.7109375" customWidth="1"/>
    <col min="9" max="9" width="13.7109375" style="5" customWidth="1"/>
    <col min="10" max="10" width="4.7109375" customWidth="1"/>
    <col min="11" max="11" width="13.7109375" style="5" customWidth="1"/>
    <col min="12" max="12" width="4.7109375" style="5" customWidth="1"/>
    <col min="13" max="13" width="13.7109375" style="5" customWidth="1"/>
    <col min="14" max="14" width="3.42578125" customWidth="1"/>
  </cols>
  <sheetData>
    <row r="1" spans="2:15" ht="17.25" customHeight="1" x14ac:dyDescent="0.25"/>
    <row r="2" spans="2:15" ht="47.25" customHeight="1" x14ac:dyDescent="0.25">
      <c r="G2" s="76" t="s">
        <v>82</v>
      </c>
      <c r="H2" s="77"/>
      <c r="I2" s="77"/>
      <c r="J2" s="77"/>
      <c r="K2" s="77"/>
      <c r="L2" s="77"/>
      <c r="M2" s="77"/>
      <c r="N2" s="77"/>
    </row>
    <row r="3" spans="2:15" ht="8.25" customHeight="1" x14ac:dyDescent="0.25">
      <c r="B3" s="20"/>
      <c r="C3" s="20"/>
      <c r="D3" s="20"/>
      <c r="E3" s="20"/>
      <c r="F3" s="20"/>
      <c r="G3" s="21"/>
      <c r="H3" s="22"/>
      <c r="I3" s="22"/>
      <c r="J3" s="22"/>
      <c r="K3" s="22"/>
      <c r="L3" s="22"/>
      <c r="M3" s="22"/>
      <c r="N3" s="22"/>
    </row>
    <row r="4" spans="2:15" ht="9.75" customHeight="1" x14ac:dyDescent="0.25"/>
    <row r="5" spans="2:15" ht="17.25" customHeight="1" x14ac:dyDescent="0.25">
      <c r="I5" s="68" t="s">
        <v>65</v>
      </c>
      <c r="K5" s="68" t="s">
        <v>66</v>
      </c>
      <c r="M5" s="68" t="s">
        <v>67</v>
      </c>
      <c r="N5" s="5"/>
      <c r="O5" s="5"/>
    </row>
    <row r="6" spans="2:15" ht="18" customHeight="1" x14ac:dyDescent="0.3">
      <c r="C6" s="71" t="s">
        <v>15</v>
      </c>
      <c r="D6" s="31"/>
      <c r="E6" s="31"/>
      <c r="F6" s="31"/>
      <c r="G6" s="31"/>
      <c r="H6" s="31"/>
      <c r="I6" s="64"/>
      <c r="K6" s="64"/>
      <c r="L6" s="23"/>
      <c r="M6" s="64"/>
      <c r="N6" s="31"/>
    </row>
    <row r="7" spans="2:15" ht="15" customHeight="1" x14ac:dyDescent="0.25"/>
    <row r="8" spans="2:15" ht="15.75" thickBot="1" x14ac:dyDescent="0.3">
      <c r="B8" s="1" t="s">
        <v>7</v>
      </c>
      <c r="C8" s="2"/>
      <c r="D8" s="2"/>
      <c r="E8" s="2"/>
      <c r="F8" s="2"/>
      <c r="G8" s="4" t="s">
        <v>3</v>
      </c>
      <c r="H8" s="3"/>
      <c r="I8" s="4" t="s">
        <v>68</v>
      </c>
      <c r="J8" s="3"/>
      <c r="K8" s="4" t="s">
        <v>69</v>
      </c>
      <c r="L8" s="4"/>
      <c r="M8" s="4" t="s">
        <v>70</v>
      </c>
      <c r="N8" s="2"/>
    </row>
    <row r="9" spans="2:15" ht="9" customHeight="1" x14ac:dyDescent="0.25"/>
    <row r="10" spans="2:15" ht="21.75" customHeight="1" x14ac:dyDescent="0.25">
      <c r="B10" s="10" t="s">
        <v>1</v>
      </c>
      <c r="C10" s="78"/>
      <c r="D10" s="78"/>
      <c r="E10" s="11"/>
      <c r="F10" s="11"/>
      <c r="G10" s="12" t="e">
        <f>I10+K10+M10</f>
        <v>#N/A</v>
      </c>
      <c r="H10" s="11"/>
      <c r="I10" s="12" t="e">
        <f>VLOOKUP(I6,Data!E24:F41,2,FALSE)</f>
        <v>#N/A</v>
      </c>
      <c r="J10" s="11"/>
      <c r="K10" s="12" t="e">
        <f>VLOOKUP(K6,Data!E24:F41,2,FALSE)</f>
        <v>#N/A</v>
      </c>
      <c r="L10" s="12"/>
      <c r="M10" s="12" t="e">
        <f>VLOOKUP(M6,Data!E24:F41,2,FALSE)</f>
        <v>#N/A</v>
      </c>
      <c r="N10" s="11"/>
    </row>
    <row r="11" spans="2:15" ht="21.75" customHeight="1" x14ac:dyDescent="0.25">
      <c r="B11" s="69" t="s">
        <v>2</v>
      </c>
      <c r="C11" s="35"/>
      <c r="D11" s="35"/>
      <c r="E11" s="35"/>
      <c r="F11" s="35"/>
      <c r="G11" s="36" t="e">
        <f>I11+K11+M11</f>
        <v>#N/A</v>
      </c>
      <c r="H11" s="35"/>
      <c r="I11" s="36" t="e">
        <f>VLOOKUP(I6, Data!E24:G41, 3, FALSE)</f>
        <v>#N/A</v>
      </c>
      <c r="J11" s="35"/>
      <c r="K11" s="36" t="e">
        <f>VLOOKUP(K6, Data!E24:G41, 3, FALSE)</f>
        <v>#N/A</v>
      </c>
      <c r="L11" s="36"/>
      <c r="M11" s="36" t="e">
        <f>VLOOKUP(M6, Data!E24:G41, 3, FALSE)</f>
        <v>#N/A</v>
      </c>
      <c r="N11" s="35"/>
    </row>
    <row r="12" spans="2:15" ht="21.75" customHeight="1" x14ac:dyDescent="0.25">
      <c r="C12" s="8" t="s">
        <v>6</v>
      </c>
      <c r="G12" s="9" t="e">
        <f>SUM(G10, G11:G11)</f>
        <v>#N/A</v>
      </c>
      <c r="I12" s="9" t="e">
        <f>SUM(I10,I11:I11)</f>
        <v>#N/A</v>
      </c>
      <c r="K12" s="9" t="e">
        <f>SUM(K10,K11:K11)</f>
        <v>#N/A</v>
      </c>
      <c r="L12" s="9"/>
      <c r="M12" s="9" t="e">
        <f>SUM(M10,M11:M11)</f>
        <v>#N/A</v>
      </c>
    </row>
    <row r="13" spans="2:15" ht="24" customHeight="1" x14ac:dyDescent="0.25"/>
    <row r="14" spans="2:15" ht="15.75" thickBot="1" x14ac:dyDescent="0.3">
      <c r="B14" s="1" t="s">
        <v>11</v>
      </c>
      <c r="C14" s="2"/>
      <c r="D14" s="2"/>
      <c r="E14" s="2"/>
      <c r="F14" s="2"/>
      <c r="G14" s="4" t="s">
        <v>3</v>
      </c>
      <c r="H14" s="3"/>
      <c r="I14" s="4" t="s">
        <v>68</v>
      </c>
      <c r="J14" s="3"/>
      <c r="K14" s="4" t="s">
        <v>69</v>
      </c>
      <c r="L14" s="4"/>
      <c r="M14" s="4" t="s">
        <v>70</v>
      </c>
      <c r="N14" s="2"/>
    </row>
    <row r="15" spans="2:15" ht="21.75" customHeight="1" x14ac:dyDescent="0.25">
      <c r="B15" t="s">
        <v>16</v>
      </c>
      <c r="G15" s="16"/>
      <c r="I15" s="5">
        <f>IF((AND(I6&lt;&gt;"not enrolled", K6&lt;&gt;"not enrolled", M6&lt;&gt;"not enrolled")), (G15/3), IF((AND(I6&lt;&gt;"not enrolled", K6&lt;&gt;"not enrolled", M6="not enrolled")), (G15/2), IF((AND(I6&lt;&gt;"not enrolled", K6="not enrolled", M6="not enrolled")), (G15/1), 0)))</f>
        <v>0</v>
      </c>
      <c r="K15" s="5">
        <f>IF((AND(I6&lt;&gt;"not enrolled", K6&lt;&gt;"not enrolled", M6&lt;&gt;"not enrolled")), (G15/3), IF((AND(I6&lt;&gt;"not enrolled", K6&lt;&gt;"not enrolled", M6="not enrolled")), (G15/2), IF((AND(I6="not enrolled", K6&lt;&gt;"not enrolled", M6&lt;&gt;"not enrolled")), (G15/2), 0)))</f>
        <v>0</v>
      </c>
      <c r="M15" s="5">
        <f>IF((AND(I6&lt;&gt;"not enrolled", K6&lt;&gt;"not enrolled", M6&lt;&gt;"not enrolled")), (G15/3), IF((AND(I6="not enrolled", K6&lt;&gt;"not enrolled", M6&lt;&gt;"not enrolled")), (G15/2), IF((AND(I6="not enrolled", K6="not enrolled", M6&lt;&gt;"not enrolled")), (G15),0)))</f>
        <v>0</v>
      </c>
    </row>
    <row r="16" spans="2:15" ht="21.75" customHeight="1" x14ac:dyDescent="0.25">
      <c r="B16" s="11" t="s">
        <v>8</v>
      </c>
      <c r="C16" s="11"/>
      <c r="D16" s="11"/>
      <c r="E16" s="11"/>
      <c r="F16" s="11"/>
      <c r="G16" s="17"/>
      <c r="H16" s="11"/>
      <c r="I16" s="12">
        <f>IF((AND(I6&lt;&gt;"not enrolled", K6&lt;&gt;"not enrolled", M6&lt;&gt;"not enrolled")), (G16/3), IF((AND(I6&lt;&gt;"not enrolled", K6&lt;&gt;"not enrolled", M6="not enrolled")), (G16/2), IF((AND(I6&lt;&gt;"not enrolled", K6="not enrolled", M6="not enrolled")), (G16/1), 0)))</f>
        <v>0</v>
      </c>
      <c r="J16" s="11"/>
      <c r="K16" s="12">
        <f>IF((AND(I6&lt;&gt;"not enrolled",K6&lt;&gt;"not enrolled",M6&lt;&gt;"not enrolled")),(G16/3),IF((AND(I6&lt;&gt;"not enrolled",K6&lt;&gt;"not enrolled",M6="not enrolled")),(G16/2),IF((AND(I6="not enrolled",K6&lt;&gt;"not enrolled",M6&lt;&gt;"not enrolled")),(G16/2),0)))</f>
        <v>0</v>
      </c>
      <c r="L16" s="12"/>
      <c r="M16" s="12">
        <f>IF((AND(I6&lt;&gt;"not enrolled",K6&lt;&gt;"not enrolled",M6&lt;&gt;"not enrolled")),(G16/3),IF((AND(I6="not enrolled",K6&lt;&gt;"not enrolled",M6&lt;&gt;"not enrolled")),(G16/2),IF((AND(I6="not enrolled",K6="not enrolled",M6&lt;&gt;"not enrolled")),(G16),0)))</f>
        <v>0</v>
      </c>
      <c r="N16" s="11"/>
    </row>
    <row r="17" spans="2:14" ht="21.75" customHeight="1" x14ac:dyDescent="0.25">
      <c r="B17" t="s">
        <v>19</v>
      </c>
      <c r="E17" s="18"/>
      <c r="G17" s="5">
        <f>SUM(I17,K17,M17)</f>
        <v>0</v>
      </c>
      <c r="I17" s="5">
        <f>IF((AND(I6&lt;&gt;"not enrolled", K6&lt;&gt;"not enrolled", M6&lt;&gt;"not enrolled")), ROUND(((E17-(E17*0.01057))/3),0), IF((AND(I6&lt;&gt;"not enrolled",K6&lt;&gt;"not enrolled", M6="not enrolled")), ROUND(((E17-(E17*0.01057))/2),0), IF((AND(I6&lt;&gt;"not enrolled", K6="not enrolled", M6="not enrolled")), ROUND(((E17-(E17*0.01057))/1),0), 0)))</f>
        <v>0</v>
      </c>
      <c r="K17" s="5">
        <f>IF((AND(I6&lt;&gt;"not enrolled", K6&lt;&gt;"not enrolled", M6&lt;&gt;"not enrolled")), ROUND(((E17-(E17*0.01057))/3),0), IF((AND(I6&lt;&gt;"not enrolled", K6&lt;&gt;"not enrolled", M6="not enrolled")), ROUND(((E17-(E17*0.01057))/2),0), IF((AND(I6="not enrolled",K6&lt;&gt;"not enrolled", M6&lt;&gt;"not enrolled")), ROUND(((E17-(E17*0.01057))/2),0), 0)))</f>
        <v>0</v>
      </c>
      <c r="M17" s="5">
        <f>IF((AND(I6&lt;&gt;"not enrolled", K6&lt;&gt;"not enrolled", M6&lt;&gt;"not enrolled")), ROUND(((E17-(E17*0.01057))/3),0), IF((AND(I6="not enrolled", K6&lt;&gt;"not enrolled", M6&lt;&gt;"not enrolled")), ROUND(((E17-(E17*0.01057))/2),0), IF((AND(I6="not enrolled", K6="not enrolled", M6&lt;&gt;"not enrolled")), ROUND(((E17-(E17*0.01057))/1),0), 0)))</f>
        <v>0</v>
      </c>
    </row>
    <row r="18" spans="2:14" ht="21.75" customHeight="1" x14ac:dyDescent="0.25">
      <c r="B18" s="11" t="s">
        <v>20</v>
      </c>
      <c r="C18" s="11"/>
      <c r="D18" s="11"/>
      <c r="E18" s="18"/>
      <c r="F18" s="11"/>
      <c r="G18" s="12">
        <f>SUM(I18,K18,M18)</f>
        <v>0</v>
      </c>
      <c r="H18" s="11"/>
      <c r="I18" s="12">
        <f>IF((AND(I6&lt;&gt;"not enrolled", K6&lt;&gt;"not enrolled", M6&lt;&gt;"not enrolled")), ROUND(((E18-(E18*0.04228))/3),0), IF((AND(I6&lt;&gt;"not enrolled",K6&lt;&gt;"not enrolled", M6="not enrolled")), ROUND(((E18-(E18*0.04228))/2),0), IF((AND(I6&lt;&gt;"not enrolled", K6="not enrolled", M6="not enrolled")), ROUND(((E18-(E18*0.04228))/1),0), 0)))</f>
        <v>0</v>
      </c>
      <c r="J18" s="11"/>
      <c r="K18" s="12">
        <f>IF((AND(I6&lt;&gt;"not enrolled", K6&lt;&gt;"not enrolled", M6&lt;&gt;"not enrolled")), ROUND(((E18-(E18*0.04228))/3),0), IF((AND(I6&lt;&gt;"not enrolled", K6&lt;&gt;"not enrolled", M6="not enrolled")), ROUND(((E18-(E18*0.04228))/2),0), IF((AND(I6="not enrolled",K6&lt;&gt;"not enrolled", M6&lt;&gt;"not enrolled")), ROUND(((E18-(E18*0.04228))/2),0), 0)))</f>
        <v>0</v>
      </c>
      <c r="L18" s="12"/>
      <c r="M18" s="12">
        <f>IF((AND(I6&lt;&gt;"not enrolled", K6&lt;&gt;"not enrolled", M6&lt;&gt;"not enrolled")), ROUND(((E18-(E18*0.04228))/3),0), IF((AND(I6="not enrolled", K6&lt;&gt;"not enrolled", M6&lt;&gt;"not enrolled")), ROUND(((E18-(E18*0.04228))/2),0), IF((AND(I6="not enrolled", K6="not enrolled", M6&lt;&gt;"not enrolled")), ROUND(((E18-(E18*0.04228))/1),0), 0)))</f>
        <v>0</v>
      </c>
      <c r="N18" s="11"/>
    </row>
    <row r="19" spans="2:14" ht="21.75" customHeight="1" x14ac:dyDescent="0.25">
      <c r="B19" t="s">
        <v>9</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enrolled",K6&lt;&gt;"not enrolled",M6&lt;&gt;"not enrolled")),(G19/3),IF((AND(I6="not enrolled",K6&lt;&gt;"not enrolled",M6&lt;&gt;"not enrolled")),(G19/2),IF((AND(I6="not enrolled",K6="not enrolled",M6&lt;&gt;"not enrolled")),(G19),0)))</f>
        <v>0</v>
      </c>
    </row>
    <row r="20" spans="2:14" ht="21.75" customHeight="1" x14ac:dyDescent="0.25">
      <c r="B20" s="89" t="s">
        <v>23</v>
      </c>
      <c r="C20" s="89"/>
      <c r="D20" s="89"/>
      <c r="E20" s="89"/>
      <c r="F20" s="89"/>
      <c r="G20" s="7"/>
      <c r="H20" s="6"/>
      <c r="I20" s="19"/>
      <c r="J20" s="6"/>
      <c r="K20" s="19"/>
      <c r="L20" s="24"/>
      <c r="M20" s="25"/>
      <c r="N20" s="6"/>
    </row>
    <row r="21" spans="2:14" ht="21.75" customHeight="1" x14ac:dyDescent="0.25">
      <c r="C21" s="8" t="s">
        <v>10</v>
      </c>
      <c r="G21" s="5">
        <f>SUM(G15:G20)</f>
        <v>0</v>
      </c>
      <c r="I21" s="5">
        <f>SUM(I15:I20)</f>
        <v>0</v>
      </c>
      <c r="K21" s="5">
        <f>SUM(K15:K19,K20)</f>
        <v>0</v>
      </c>
      <c r="M21" s="5">
        <f>SUM(M15:M19,M20)</f>
        <v>0</v>
      </c>
    </row>
    <row r="22" spans="2:14" ht="15.75" thickBot="1" x14ac:dyDescent="0.3"/>
    <row r="23" spans="2:14" ht="21.75" customHeight="1" thickTop="1" thickBot="1" x14ac:dyDescent="0.35">
      <c r="B23" s="15" t="s">
        <v>12</v>
      </c>
      <c r="C23" s="14"/>
      <c r="D23" s="14"/>
      <c r="E23" s="14"/>
      <c r="F23" s="14"/>
      <c r="G23" s="26" t="e">
        <f>G12-G21</f>
        <v>#N/A</v>
      </c>
      <c r="H23" s="27"/>
      <c r="I23" s="26" t="e">
        <f>I12-I21</f>
        <v>#N/A</v>
      </c>
      <c r="J23" s="27"/>
      <c r="K23" s="26" t="e">
        <f>K12-K21</f>
        <v>#N/A</v>
      </c>
      <c r="L23" s="26"/>
      <c r="M23" s="26" t="e">
        <f>M12-M21</f>
        <v>#N/A</v>
      </c>
      <c r="N23" s="14"/>
    </row>
    <row r="24" spans="2:14" ht="15.75" thickTop="1" x14ac:dyDescent="0.25"/>
    <row r="25" spans="2:14" x14ac:dyDescent="0.25">
      <c r="B25" s="8" t="s">
        <v>13</v>
      </c>
    </row>
    <row r="26" spans="2:14" ht="21.75" customHeight="1" x14ac:dyDescent="0.25">
      <c r="B26" s="85" t="s">
        <v>83</v>
      </c>
      <c r="C26" s="85"/>
      <c r="D26" s="85"/>
      <c r="E26" s="85"/>
      <c r="F26" s="85"/>
      <c r="G26" s="85"/>
      <c r="H26" s="85"/>
      <c r="I26" s="85"/>
      <c r="J26" s="85"/>
      <c r="K26" s="85"/>
      <c r="L26" s="85"/>
      <c r="M26" s="85"/>
      <c r="N26" s="85"/>
    </row>
    <row r="27" spans="2:14" ht="21.75" customHeight="1" x14ac:dyDescent="0.25">
      <c r="B27" s="83" t="s">
        <v>18</v>
      </c>
      <c r="C27" s="83"/>
      <c r="D27" s="83"/>
      <c r="E27" s="83"/>
      <c r="F27" s="83"/>
      <c r="G27" s="83"/>
      <c r="H27" s="83"/>
      <c r="I27" s="83"/>
      <c r="J27" s="83"/>
      <c r="K27" s="83"/>
      <c r="L27" s="83"/>
      <c r="M27" s="83"/>
      <c r="N27" s="83"/>
    </row>
    <row r="28" spans="2:14" ht="21.75" customHeight="1" x14ac:dyDescent="0.25">
      <c r="B28" t="s">
        <v>57</v>
      </c>
    </row>
    <row r="29" spans="2:14" ht="51" customHeight="1" x14ac:dyDescent="0.25">
      <c r="B29" s="85" t="s">
        <v>58</v>
      </c>
      <c r="C29" s="85"/>
      <c r="D29" s="85"/>
      <c r="E29" s="85"/>
      <c r="F29" s="85"/>
      <c r="G29" s="85"/>
      <c r="H29" s="85"/>
      <c r="I29" s="85"/>
      <c r="J29" s="85"/>
      <c r="K29" s="85"/>
      <c r="L29" s="85"/>
      <c r="M29" s="85"/>
      <c r="N29" s="85"/>
    </row>
    <row r="30" spans="2:14" ht="21.75" customHeight="1" x14ac:dyDescent="0.25"/>
    <row r="32" spans="2:14" x14ac:dyDescent="0.25">
      <c r="B32" s="72" t="s">
        <v>89</v>
      </c>
      <c r="C32" s="72"/>
      <c r="D32" s="72"/>
      <c r="E32" s="72"/>
      <c r="F32" s="72"/>
      <c r="G32" s="72"/>
      <c r="H32" s="72"/>
      <c r="I32" s="72"/>
      <c r="J32" s="72"/>
      <c r="K32" s="72"/>
      <c r="L32" s="72"/>
      <c r="M32" s="72"/>
      <c r="N32" s="72"/>
    </row>
  </sheetData>
  <sheetProtection algorithmName="SHA-512" hashValue="hBvUBvluuZ2ix2WtEJLyaJYSRCOjghKFDyFIOFvesK6Hp7+PlC748r8tns4qAW2fkGqx1KP6fpVyvRu6b+VLig==" saltValue="p/DJi04Lc4vgzPY1D6Q3cA==" spinCount="100000" sheet="1" objects="1" scenarios="1" selectLockedCells="1"/>
  <mergeCells count="7">
    <mergeCell ref="B29:N29"/>
    <mergeCell ref="B32:N32"/>
    <mergeCell ref="G2:N2"/>
    <mergeCell ref="C10:D10"/>
    <mergeCell ref="B20:F20"/>
    <mergeCell ref="B26:N26"/>
    <mergeCell ref="B27:N27"/>
  </mergeCells>
  <hyperlinks>
    <hyperlink ref="B13" r:id="rId1" display="Will you use DU Health &amp; Counseling Services? " xr:uid="{00000000-0004-0000-0300-000000000000}"/>
    <hyperlink ref="B12" r:id="rId2" display="Will you enroll in DU's health insurance plan?" xr:uid="{00000000-0004-0000-03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Data!$E$24:$E$41</xm:f>
          </x14:formula1>
          <xm:sqref>I6 K6 M6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4"/>
  <sheetViews>
    <sheetView showGridLines="0" showRowColHeaders="0" showRuler="0" zoomScaleNormal="100" workbookViewId="0">
      <selection activeCell="G5" sqref="G5:I5"/>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3" t="s">
        <v>87</v>
      </c>
      <c r="H2" s="73"/>
      <c r="I2" s="73"/>
      <c r="J2" s="73"/>
      <c r="K2" s="73"/>
      <c r="L2" s="73"/>
      <c r="M2" s="73"/>
      <c r="N2" s="73"/>
      <c r="O2" s="73"/>
    </row>
    <row r="3" spans="2:15" ht="8.25" customHeight="1" x14ac:dyDescent="0.25">
      <c r="B3" s="20"/>
      <c r="C3" s="20"/>
      <c r="D3" s="20"/>
      <c r="E3" s="20"/>
      <c r="F3" s="20"/>
      <c r="G3" s="21"/>
      <c r="H3" s="22"/>
      <c r="I3" s="22"/>
      <c r="J3" s="22"/>
      <c r="K3" s="22"/>
      <c r="L3" s="22"/>
      <c r="M3" s="22"/>
      <c r="N3" s="22"/>
      <c r="O3" s="22"/>
    </row>
    <row r="4" spans="2:15" ht="9.75" customHeight="1" x14ac:dyDescent="0.25"/>
    <row r="5" spans="2:15" ht="18" customHeight="1" x14ac:dyDescent="0.3">
      <c r="B5" s="71" t="s">
        <v>48</v>
      </c>
      <c r="D5" s="31"/>
      <c r="E5" s="31"/>
      <c r="F5" s="31"/>
      <c r="G5" s="90"/>
      <c r="H5" s="91"/>
      <c r="I5" s="92"/>
    </row>
    <row r="6" spans="2:15" ht="9.75" customHeight="1" x14ac:dyDescent="0.25"/>
    <row r="7" spans="2:15" ht="15" customHeight="1" x14ac:dyDescent="0.25">
      <c r="I7" s="68" t="s">
        <v>65</v>
      </c>
      <c r="J7" s="39"/>
      <c r="K7" s="68" t="s">
        <v>66</v>
      </c>
      <c r="L7" s="40"/>
      <c r="M7" s="68" t="s">
        <v>67</v>
      </c>
      <c r="N7" s="40"/>
      <c r="O7" s="68" t="s">
        <v>84</v>
      </c>
    </row>
    <row r="8" spans="2:15" ht="18" customHeight="1" x14ac:dyDescent="0.3">
      <c r="C8" s="71" t="s">
        <v>42</v>
      </c>
      <c r="E8" s="31"/>
      <c r="F8" s="31"/>
      <c r="G8" s="31"/>
      <c r="H8" s="31"/>
      <c r="I8" s="65"/>
      <c r="K8" s="66"/>
      <c r="L8"/>
      <c r="M8" s="67"/>
      <c r="N8"/>
      <c r="O8" s="67"/>
    </row>
    <row r="9" spans="2:15" ht="18.75" customHeight="1" x14ac:dyDescent="0.25"/>
    <row r="10" spans="2:15" ht="15.75" thickBot="1" x14ac:dyDescent="0.3">
      <c r="B10" s="1" t="s">
        <v>7</v>
      </c>
      <c r="C10" s="2"/>
      <c r="D10" s="2"/>
      <c r="E10" s="2"/>
      <c r="F10" s="2"/>
      <c r="G10" s="4" t="s">
        <v>3</v>
      </c>
      <c r="H10" s="3"/>
      <c r="I10" s="4" t="s">
        <v>68</v>
      </c>
      <c r="J10" s="3"/>
      <c r="K10" s="4" t="s">
        <v>69</v>
      </c>
      <c r="L10" s="4"/>
      <c r="M10" s="4" t="s">
        <v>70</v>
      </c>
      <c r="N10" s="4"/>
      <c r="O10" s="4" t="s">
        <v>85</v>
      </c>
    </row>
    <row r="11" spans="2:15" ht="9" customHeight="1" x14ac:dyDescent="0.25"/>
    <row r="12" spans="2:15" ht="21.75" customHeight="1" x14ac:dyDescent="0.25">
      <c r="B12" s="10" t="s">
        <v>1</v>
      </c>
      <c r="C12" s="78"/>
      <c r="D12" s="78"/>
      <c r="E12" s="11"/>
      <c r="F12" s="11"/>
      <c r="G12" s="12">
        <f>I12+K12+M12+O12</f>
        <v>0</v>
      </c>
      <c r="H12" s="11"/>
      <c r="I12" s="12">
        <f>IF(G5="2020 Summer Quarter or Later",(VLOOKUP(I8,Data!J24:L41,3,FALSE)),IF(G5="Prior to 2020 Summer Quarter",(VLOOKUP(I8,Data!J24:K41,2,FALSE)),0))</f>
        <v>0</v>
      </c>
      <c r="J12" s="11"/>
      <c r="K12" s="12">
        <f>IF(G5="2020 Summer Quarter or Later",(VLOOKUP(K8,Data!J24:L41,3,FALSE)),IF(G5="Prior to 2020 Summer Quarter",(VLOOKUP(K8,Data!J24:K41,2,FALSE)),0))</f>
        <v>0</v>
      </c>
      <c r="L12" s="12"/>
      <c r="M12" s="12">
        <f>IF(G5="2020 Summer Quarter or Later",(VLOOKUP(M8,Data!J24:L41,3,FALSE)),IF(G5="Prior to 2020 Summer Quarter",(VLOOKUP(M8,Data!J24:K41,2,FALSE)),0))</f>
        <v>0</v>
      </c>
      <c r="N12" s="12"/>
      <c r="O12" s="12">
        <f>IF(G5="2020 Summer Quarter or Later",(VLOOKUP(O8,Data!J24:L41,3,FALSE)),IF(G5="Prior to 2020 Summer Quarter",(VLOOKUP(O8,Data!J24:K41,2,FALSE)),0))</f>
        <v>0</v>
      </c>
    </row>
    <row r="13" spans="2:15" ht="21.75" customHeight="1" x14ac:dyDescent="0.25">
      <c r="B13" s="41" t="s">
        <v>2</v>
      </c>
      <c r="C13" s="42"/>
      <c r="D13" s="42"/>
      <c r="E13" s="42"/>
      <c r="F13" s="42"/>
      <c r="G13" s="43" t="e">
        <f>I13+K13+M13+O13</f>
        <v>#N/A</v>
      </c>
      <c r="H13" s="42"/>
      <c r="I13" s="43" t="e">
        <f>VLOOKUP(I8,Data!J24:M41,4,FALSE)</f>
        <v>#N/A</v>
      </c>
      <c r="J13" s="42"/>
      <c r="K13" s="43" t="e">
        <f>VLOOKUP(K8,Data!J24:M41,4,FALSE)</f>
        <v>#N/A</v>
      </c>
      <c r="L13" s="43"/>
      <c r="M13" s="43" t="e">
        <f>VLOOKUP(M8,Data!J24:M41,4,FALSE)</f>
        <v>#N/A</v>
      </c>
      <c r="N13" s="43"/>
      <c r="O13" s="43" t="e">
        <f>VLOOKUP(O8,Data!J24:M41,4,FALSE)</f>
        <v>#N/A</v>
      </c>
    </row>
    <row r="14" spans="2:15" ht="21.75" customHeight="1" x14ac:dyDescent="0.25">
      <c r="B14" s="20"/>
      <c r="C14" s="46" t="s">
        <v>6</v>
      </c>
      <c r="D14" s="20"/>
      <c r="E14" s="20"/>
      <c r="F14" s="20"/>
      <c r="G14" s="47" t="e">
        <f>SUM(G12:G13)</f>
        <v>#N/A</v>
      </c>
      <c r="H14" s="20"/>
      <c r="I14" s="47" t="e">
        <f>SUM(I12:I13)</f>
        <v>#N/A</v>
      </c>
      <c r="J14" s="20"/>
      <c r="K14" s="47" t="e">
        <f>SUM(K12:K13)</f>
        <v>#N/A</v>
      </c>
      <c r="L14" s="47"/>
      <c r="M14" s="47" t="e">
        <f>SUM(M12:M13)</f>
        <v>#N/A</v>
      </c>
      <c r="N14" s="47"/>
      <c r="O14" s="47" t="e">
        <f>SUM(O12:O13)</f>
        <v>#N/A</v>
      </c>
    </row>
    <row r="15" spans="2:15" ht="24" customHeight="1" x14ac:dyDescent="0.25"/>
    <row r="16" spans="2:15" ht="15.75" thickBot="1" x14ac:dyDescent="0.3">
      <c r="B16" s="1" t="s">
        <v>11</v>
      </c>
      <c r="C16" s="2"/>
      <c r="D16" s="2"/>
      <c r="E16" s="2"/>
      <c r="F16" s="2"/>
      <c r="G16" s="4" t="s">
        <v>3</v>
      </c>
      <c r="H16" s="3"/>
      <c r="I16" s="4" t="s">
        <v>68</v>
      </c>
      <c r="J16" s="3"/>
      <c r="K16" s="4" t="s">
        <v>69</v>
      </c>
      <c r="L16" s="4"/>
      <c r="M16" s="4" t="s">
        <v>70</v>
      </c>
      <c r="N16" s="4"/>
      <c r="O16" s="4" t="s">
        <v>85</v>
      </c>
    </row>
    <row r="17" spans="2:15" ht="21.75" customHeight="1" x14ac:dyDescent="0.25">
      <c r="B17" t="s">
        <v>16</v>
      </c>
      <c r="G17" s="16"/>
      <c r="I17" s="5">
        <f>IF((AND(I8&lt;&gt;"not enrolled",K8&lt;&gt;"not enrolled",M8&lt;&gt;"not enrolled",O8&lt;&gt;"not enrolled")),(G17/4), IF((AND(I8&lt;&gt;"not enrolled",K8&lt;&gt;"not enrolled",M8&lt;&gt;"not enrolled",O8="not enrolled")),(G17/3), IF((AND(I8&lt;&gt;"not enrolled",K8&lt;&gt;"not enrolled",M8="not enrolled",O8="not enrolled")),(G17/2), IF((AND(I8&lt;&gt;"not enrolled",K8="not enrolled",M8="not enrolled",O8="not enrolled")),(G17/1), 0))))</f>
        <v>0</v>
      </c>
      <c r="K17" s="5">
        <f>IF((AND(I8&lt;&gt;"not enrolled",K8&lt;&gt;"not enrolled",M8&lt;&gt;"not enrolled",O8&lt;&gt;"not enrolled")),(G17/4), IF((AND(I8&lt;&gt;"not enrolled",K8&lt;&gt;"not enrolled",M8&lt;&gt;"not enrolled",O8="not enrolled")),(G17/3), IF((AND(I8="not enrolled",K8&lt;&gt;"not enrolled",M8&lt;&gt;"not enrolled",O8&lt;&gt;"not enrolled")),(G17/3), IF((AND(I8&lt;&gt;"not enrolled",K8&lt;&gt;"not enrolled",M8="not enrolled",O8="not enrolled")),(G17/2), 0))))</f>
        <v>0</v>
      </c>
      <c r="M17" s="5">
        <f>IF((AND(I8&lt;&gt;"not enrolled",K8&lt;&gt;"not enrolled",M8&lt;&gt;"not enrolled",O8&lt;&gt;"not enrolled")),(G17/4), IF((AND(I8&lt;&gt;"not enrolled",K8&lt;&gt;"not enrolled",M8&lt;&gt;"not enrolled",O8="not enrolled")),(G17/3), IF((AND(I8="not enrolled",K8&lt;&gt;"not enrolled",M8&lt;&gt;"not enrolled",O8&lt;&gt;"not enrolled")),(G17/3), IF((AND(I8="not enrolled",K8="not enrolled",M8&lt;&gt;"not enrolled",O8&lt;&gt;"not enrolled")),(G17/2), 0))))</f>
        <v>0</v>
      </c>
      <c r="O17" s="5">
        <f>IF((AND(I8&lt;&gt;"not enrolled",K8&lt;&gt;"not enrolled",M8&lt;&gt;"not enrolled",O8&lt;&gt;"not enrolled")),(G17/4), IF((AND(I8="not enrolled",K8&lt;&gt;"not enrolled",M8&lt;&gt;"not enrolled",O8&lt;&gt;"not enrolled")),(G17/3), IF((AND(I8="not enrolled",K8="not enrolled",M8&lt;&gt;"not enrolled",O8&lt;&gt;"not enrolled")),(G17/2),  IF((AND(I8="not enrolled",K8="not enrolled",M8="not enrolled",O8&lt;&gt;"not enrolled")),(G17), 0))))</f>
        <v>0</v>
      </c>
    </row>
    <row r="18" spans="2:15" ht="21.75" customHeight="1" x14ac:dyDescent="0.25">
      <c r="B18" s="11" t="s">
        <v>8</v>
      </c>
      <c r="C18" s="11"/>
      <c r="D18" s="11"/>
      <c r="E18" s="11"/>
      <c r="F18" s="11"/>
      <c r="G18" s="17"/>
      <c r="H18" s="11"/>
      <c r="I18" s="12">
        <f>IF((AND(I8&lt;&gt;"not enrolled",K8&lt;&gt;"not enrolled",M8&lt;&gt;"not enrolled",O8&lt;&gt;"not enrolled")),(G18/4), IF((AND(I8&lt;&gt;"not enrolled",K8&lt;&gt;"not enrolled",M8&lt;&gt;"not enrolled",O8="not enrolled")),(G18/3), IF((AND(I8&lt;&gt;"not enrolled",K8&lt;&gt;"not enrolled",M8="not enrolled",O8="not enrolled")),(G18/2), IF((AND(I8&lt;&gt;"not enrolled",K8="not enrolled",M8="not enrolled",O8="not enrolled")),(G18/1), 0))))</f>
        <v>0</v>
      </c>
      <c r="J18" s="11"/>
      <c r="K18" s="12">
        <f>IF((AND(I8&lt;&gt;"not enrolled",K8&lt;&gt;"not enrolled",M8&lt;&gt;"not enrolled",O8&lt;&gt;"not enrolled")),(G18/4), IF((AND(I8&lt;&gt;"not enrolled",K8&lt;&gt;"not enrolled",M8&lt;&gt;"not enrolled",O8="not enrolled")),(G18/3), IF((AND(I8="not enrolled",K8&lt;&gt;"not enrolled",M8&lt;&gt;"not enrolled",O8&lt;&gt;"not enrolled")),(G18/3), IF((AND(I8&lt;&gt;"not enrolled",K8&lt;&gt;"not enrolled",M8="not enrolled",O8="not enrolled")),(G18/2), 0))))</f>
        <v>0</v>
      </c>
      <c r="L18" s="12"/>
      <c r="M18" s="12">
        <f>IF((AND(I8&lt;&gt;"not enrolled",K8&lt;&gt;"not enrolled",M8&lt;&gt;"not enrolled",O8&lt;&gt;"not enrolled")),(G18/4), IF((AND(I8&lt;&gt;"not enrolled",K8&lt;&gt;"not enrolled",M8&lt;&gt;"not enrolled",O8="not enrolled")),(G18/3), IF((AND(I8="not enrolled",K8&lt;&gt;"not enrolled",M8&lt;&gt;"not enrolled",O8&lt;&gt;"not enrolled")),(G18/3), IF((AND(I8="not enrolled",K8="not enrolled",M8&lt;&gt;"not enrolled",O8&lt;&gt;"not enrolled")),(G18/2), 0))))</f>
        <v>0</v>
      </c>
      <c r="N18" s="12"/>
      <c r="O18" s="12">
        <f>IF((AND(I8&lt;&gt;"not enrolled",K8&lt;&gt;"not enrolled",M8&lt;&gt;"not enrolled",O8&lt;&gt;"not enrolled")),(G18/4), IF((AND(I8="not enrolled",K8&lt;&gt;"not enrolled",M8&lt;&gt;"not enrolled",O8&lt;&gt;"not enrolled")),(G18/3), IF((AND(I8="not enrolled",K8="not enrolled",M8&lt;&gt;"not enrolled",O8&lt;&gt;"not enrolled")),(G18/2),  IF((AND(I8="not enrolled",K8="not enrolled",M8="not enrolled",O8&lt;&gt;"not enrolled")),(G18), 0))))</f>
        <v>0</v>
      </c>
    </row>
    <row r="19" spans="2:15" ht="21.75" customHeight="1" x14ac:dyDescent="0.25">
      <c r="B19" t="s">
        <v>19</v>
      </c>
      <c r="E19" s="18"/>
      <c r="G19" s="5">
        <f>SUM(I19,K19,M19,O19)</f>
        <v>0</v>
      </c>
      <c r="I19" s="5">
        <f>IF((AND(I8&lt;&gt;"not enrolled",K8&lt;&gt;"not enrolled",M8&lt;&gt;"not enrolled",O8&lt;&gt;"not enrolled")),ROUND(((E19-(E19*0.01057))/4),0), IF((AND(I8&lt;&gt;"not enrolled",K8&lt;&gt;"not enrolled",M8&lt;&gt;"not enrolled",O8="not enrolled")),ROUND(((E19-(E19*0.01057))/3),0), IF((AND(I8&lt;&gt;"not enrolled",K8&lt;&gt;"not enrolled",M8="not enrolled",O8="not enrolled")),ROUND(((E19-(E19*0.01057))/2),0), IF((AND(I8&lt;&gt;"not enrolled",K8="not enrolled",M8="not enrolled",O8="not enrolled")),ROUND(((E19-(E19*0.01057))/1),0), 0))))</f>
        <v>0</v>
      </c>
      <c r="K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IF((AND(I8&lt;&gt;"not enrolled",K8&lt;&gt;"not enrolled",M8="not enrolled",O8="not enrolled")),ROUND(((E19-(E19*0.01057))/2),0), 0))))</f>
        <v>0</v>
      </c>
      <c r="M19" s="5">
        <f>IF((AND(I8&lt;&gt;"not enrolled",K8&lt;&gt;"not enrolled",M8&lt;&gt;"not enrolled",O8&lt;&gt;"not enrolled")),ROUND(((E19-(E19*0.01057))/4),0), IF((AND(I8&lt;&gt;"not enrolled",K8&lt;&gt;"not enrolled",M8&lt;&gt;"not enrolled",O8="not enrolled")),ROUND(((E19-(E19*0.01057))/3),0), IF((AND(I8="not enrolled",K8&lt;&gt;"not enrolled",M8&lt;&gt;"not enrolled",O8&lt;&gt;"not enrolled")),ROUND(((E19-(E19*0.01057))/3),0), IF((AND(I8="not enrolled",K8="not enrolled",M8&lt;&gt;"not enrolled",O8&lt;&gt;"not enrolled")),ROUND(((E19-(E19*0.01057))/2),0), 0))))</f>
        <v>0</v>
      </c>
      <c r="O19" s="5">
        <f>IF((AND(I8&lt;&gt;"not enrolled",K8&lt;&gt;"not enrolled",M8&lt;&gt;"not enrolled",O8&lt;&gt;"not enrolled")),ROUND(((E19-(E19*0.01057))/4),0), IF((AND(I8="not enrolled",K8&lt;&gt;"not enrolled",M8&lt;&gt;"not enrolled",O8&lt;&gt;"not enrolled")),ROUND(((E19-(E19*0.01057))/3),0), IF((AND(I8="not enrolled",K8="not enrolled",M8&lt;&gt;"not enrolled",O8&lt;&gt;"not enrolled")),ROUND(((E19-(E19*0.01057))/2),0),  IF((AND(I8="not enrolled",K8="not enrolled",M8="not enrolled",O8&lt;&gt;"not enrolled")),ROUND(((E19-(E19*0.01057))/1),0), 0))))</f>
        <v>0</v>
      </c>
    </row>
    <row r="20" spans="2:15" ht="21.75" customHeight="1" x14ac:dyDescent="0.25">
      <c r="B20" s="11" t="s">
        <v>20</v>
      </c>
      <c r="C20" s="11"/>
      <c r="D20" s="11"/>
      <c r="E20" s="18"/>
      <c r="F20" s="11"/>
      <c r="G20" s="12">
        <f>SUM(I20,K20,M20,O20)</f>
        <v>0</v>
      </c>
      <c r="H20" s="11"/>
      <c r="I20" s="12">
        <f>IF((AND(I8&lt;&gt;"not enrolled",K8&lt;&gt;"not enrolled",M8&lt;&gt;"not enrolled",O8&lt;&gt;"not enrolled")),ROUND(((E20-(E20*0.04228))/4),0), IF((AND(I8&lt;&gt;"not enrolled",K8&lt;&gt;"not enrolled",M8&lt;&gt;"not enrolled",O8="not enrolled")),ROUND(((E20-(E20*0.04228))/3),0), IF((AND(I8&lt;&gt;"not enrolled",K8&lt;&gt;"not enrolled",M8="not enrolled",O8="not enrolled")),ROUND(((E20-(E20*0.04228))/2),0), IF((AND(I8&lt;&gt;"not enrolled",K8="not enrolled",M8="not enrolled",O8="not enrolled")),ROUND(((E20-(E20*0.04228))/1),0), 0))))</f>
        <v>0</v>
      </c>
      <c r="J20" s="11"/>
      <c r="K20" s="12">
        <f>IF((AND(I8&lt;&gt;"not enrolled",K8&lt;&gt;"not enrolled",M8&lt;&gt;"not enrolled",O8&lt;&gt;"not enrolled")),ROUND(((E20-(E20*0.04228))/4),0), IF((AND(I8&lt;&gt;"not enrolled",K8&lt;&gt;"not enrolled",M8&lt;&gt;"not enrolled",O8="not enrolled")),ROUND(((E20-(E20*0.04228))/3),0), IF((AND(I8="not enrolled",K8&lt;&gt;"not enrolled",M8&lt;&gt;"not enrolled",O8&lt;&gt;"not enrolled")),ROUND(((E20-(E20*0.04228))/3),0), IF((AND(I8&lt;&gt;"not enrolled",K8&lt;&gt;"not enrolled",M8="not enrolled",O8="not enrolled")),ROUND(((E20-(E20*0.04228))/2),0), 0))))</f>
        <v>0</v>
      </c>
      <c r="L20" s="12"/>
      <c r="M20" s="12">
        <f>IF((AND(I8&lt;&gt;"not enrolled",K8&lt;&gt;"not enrolled",M8&lt;&gt;"not enrolled",O8&lt;&gt;"not enrolled")),ROUND(((E20-(E20*0.04228))/4),0), IF((AND(I8&lt;&gt;"not enrolled",K8&lt;&gt;"not enrolled",M8&lt;&gt;"not enrolled",O8="not enrolled")),ROUND(((E20-(E20*0.04228))/3),0), IF((AND(I8="not enrolled",K8&lt;&gt;"not enrolled",M8&lt;&gt;"not enrolled",O8&lt;&gt;"not enrolled")),ROUND(((E20-(E20*0.04228))/3),0), IF((AND(I8="not enrolled",K8="not enrolled",M8&lt;&gt;"not enrolled",O8&lt;&gt;"not enrolled")),ROUND(((E20-(E20*0.04228))/2),0), 0))))</f>
        <v>0</v>
      </c>
      <c r="N20" s="12"/>
      <c r="O20" s="12">
        <f>IF((AND(I8&lt;&gt;"not enrolled",K8&lt;&gt;"not enrolled",M8&lt;&gt;"not enrolled",O8&lt;&gt;"not enrolled")),ROUND(((E20-(E20*0.04228))/4),0), IF((AND(I8="not enrolled",K8&lt;&gt;"not enrolled",M8&lt;&gt;"not enrolled",O8&lt;&gt;"not enrolled")),ROUND(((E20-(E20*0.04228))/3),0), IF((AND(I8="not enrolled",K8="not enrolled",M8&lt;&gt;"not enrolled",O8&lt;&gt;"not enrolled")),ROUND(((E20-(E20*0.04228))/2),0),  IF((AND(I8="not enrolled",K8="not enrolled",M8="not enrolled",O8&lt;&gt;"not enrolled")),ROUND(((E20-(E20*0.04228))/1),0), 0))))</f>
        <v>0</v>
      </c>
    </row>
    <row r="21" spans="2:15" ht="21.75" customHeight="1" x14ac:dyDescent="0.25">
      <c r="B21" t="s">
        <v>9</v>
      </c>
      <c r="G21" s="17"/>
      <c r="I21" s="5">
        <f>IF((AND(I8&lt;&gt;"not enrolled",K8&lt;&gt;"not enrolled",M8&lt;&gt;"not enrolled",O8&lt;&gt;"not enrolled")),(G21/4), IF((AND(I8&lt;&gt;"not enrolled",K8&lt;&gt;"not enrolled",M8&lt;&gt;"not enrolled",O8="not enrolled")),(G21/3), IF((AND(I8&lt;&gt;"not enrolled",K8&lt;&gt;"not enrolled",M8="not enrolled",O8="not enrolled")),(G21/2), IF((AND(I8&lt;&gt;"not enrolled",K8="not enrolled",M8="not enrolled",O8="not enrolled")),(G21/1), 0))))</f>
        <v>0</v>
      </c>
      <c r="K21" s="5">
        <f>IF((AND(I8&lt;&gt;"not enrolled",K8&lt;&gt;"not enrolled",M8&lt;&gt;"not enrolled",O8&lt;&gt;"not enrolled")),(G21/4), IF((AND(I8&lt;&gt;"not enrolled",K8&lt;&gt;"not enrolled",M8&lt;&gt;"not enrolled",O8="not enrolled")),(G21/3), IF((AND(I8="not enrolled",K8&lt;&gt;"not enrolled",M8&lt;&gt;"not enrolled",O8&lt;&gt;"not enrolled")),(G21/3), IF((AND(I8&lt;&gt;"not enrolled",K8&lt;&gt;"not enrolled",M8="not enrolled",O8="not enrolled")),(G21/2), 0))))</f>
        <v>0</v>
      </c>
      <c r="M21" s="5">
        <f>IF((AND(I8&lt;&gt;"not enrolled",K8&lt;&gt;"not enrolled",M8&lt;&gt;"not enrolled",O8&lt;&gt;"not enrolled")),(G21/4), IF((AND(I8&lt;&gt;"not enrolled",K8&lt;&gt;"not enrolled",M8&lt;&gt;"not enrolled",O8="not enrolled")),(G21/3), IF((AND(I8="not enrolled",K8&lt;&gt;"not enrolled",M8&lt;&gt;"not enrolled",O8&lt;&gt;"not enrolled")),(G21/3), IF((AND(I8="not enrolled",K8="not enrolled",M8&lt;&gt;"not enrolled",O8&lt;&gt;"not enrolled")),(G21/2), 0))))</f>
        <v>0</v>
      </c>
      <c r="O21" s="5">
        <f>IF((AND(I8&lt;&gt;"not enrolled",K8&lt;&gt;"not enrolled",M8&lt;&gt;"not enrolled",O8&lt;&gt;"not enrolled")),(G21/4), IF((AND(I8="not enrolled",K8&lt;&gt;"not enrolled",M8&lt;&gt;"not enrolled",O8&lt;&gt;"not enrolled")),(G21/3), IF((AND(I8="not enrolled",K8="not enrolled",M8&lt;&gt;"not enrolled",O8&lt;&gt;"not enrolled")),(G21/2),  IF((AND(I8="not enrolled",K8="not enrolled",M8="not enrolled",O8&lt;&gt;"not enrolled")),(G21), 0))))</f>
        <v>0</v>
      </c>
    </row>
    <row r="22" spans="2:15" ht="21.75" customHeight="1" x14ac:dyDescent="0.25">
      <c r="B22" s="84" t="s">
        <v>23</v>
      </c>
      <c r="C22" s="84"/>
      <c r="D22" s="84"/>
      <c r="E22" s="84"/>
      <c r="F22" s="84"/>
      <c r="G22" s="30">
        <f>I22+K22+M22+O22</f>
        <v>0</v>
      </c>
      <c r="H22" s="29"/>
      <c r="I22" s="19"/>
      <c r="J22" s="29"/>
      <c r="K22" s="19"/>
      <c r="L22" s="37"/>
      <c r="M22" s="19"/>
      <c r="N22" s="37"/>
      <c r="O22" s="19"/>
    </row>
    <row r="23" spans="2:15" ht="21.75" customHeight="1" x14ac:dyDescent="0.25">
      <c r="C23" s="8"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5" t="s">
        <v>12</v>
      </c>
      <c r="C25" s="14"/>
      <c r="D25" s="14"/>
      <c r="E25" s="14"/>
      <c r="F25" s="14"/>
      <c r="G25" s="26" t="e">
        <f>G14-G23</f>
        <v>#N/A</v>
      </c>
      <c r="H25" s="27"/>
      <c r="I25" s="26" t="e">
        <f>I14-I23</f>
        <v>#N/A</v>
      </c>
      <c r="J25" s="27"/>
      <c r="K25" s="26" t="e">
        <f>K14-K23</f>
        <v>#N/A</v>
      </c>
      <c r="L25" s="26"/>
      <c r="M25" s="26" t="e">
        <f>M14-M23</f>
        <v>#N/A</v>
      </c>
      <c r="N25" s="26"/>
      <c r="O25" s="26" t="e">
        <f>O14-O23</f>
        <v>#N/A</v>
      </c>
    </row>
    <row r="26" spans="2:15" ht="15.75" thickTop="1" x14ac:dyDescent="0.25"/>
    <row r="27" spans="2:15" x14ac:dyDescent="0.25">
      <c r="B27" s="8" t="s">
        <v>13</v>
      </c>
    </row>
    <row r="28" spans="2:15" ht="21" customHeight="1" x14ac:dyDescent="0.25">
      <c r="B28" s="59" t="s">
        <v>86</v>
      </c>
      <c r="C28" s="59"/>
      <c r="D28" s="59"/>
      <c r="E28" s="59"/>
      <c r="F28" s="59"/>
      <c r="G28" s="59"/>
      <c r="H28" s="59"/>
      <c r="I28" s="59"/>
      <c r="J28" s="59"/>
      <c r="K28" s="59"/>
      <c r="L28" s="59"/>
      <c r="M28" s="59"/>
      <c r="N28" s="59"/>
      <c r="O28" s="60"/>
    </row>
    <row r="29" spans="2:15" ht="21.75" customHeight="1" x14ac:dyDescent="0.25">
      <c r="B29" s="83" t="s">
        <v>18</v>
      </c>
      <c r="C29" s="83"/>
      <c r="D29" s="83"/>
      <c r="E29" s="83"/>
      <c r="F29" s="83"/>
      <c r="G29" s="83"/>
      <c r="H29" s="83"/>
      <c r="I29" s="83"/>
      <c r="J29" s="83"/>
      <c r="K29" s="83"/>
      <c r="L29" s="83"/>
      <c r="M29" s="83"/>
      <c r="N29" s="83"/>
      <c r="O29" s="83"/>
    </row>
    <row r="30" spans="2:15" ht="21.75" customHeight="1" x14ac:dyDescent="0.25">
      <c r="B30" t="s">
        <v>57</v>
      </c>
    </row>
    <row r="31" spans="2:15" ht="51" customHeight="1" x14ac:dyDescent="0.25">
      <c r="B31" s="85" t="s">
        <v>58</v>
      </c>
      <c r="C31" s="85"/>
      <c r="D31" s="85"/>
      <c r="E31" s="85"/>
      <c r="F31" s="85"/>
      <c r="G31" s="85"/>
      <c r="H31" s="85"/>
      <c r="I31" s="85"/>
      <c r="J31" s="85"/>
      <c r="K31" s="85"/>
      <c r="L31" s="85"/>
      <c r="M31" s="85"/>
      <c r="N31" s="85"/>
      <c r="O31" s="85"/>
    </row>
    <row r="32" spans="2:15" ht="21.75" customHeight="1" x14ac:dyDescent="0.25"/>
    <row r="34" spans="2:15" x14ac:dyDescent="0.25">
      <c r="B34" s="72" t="s">
        <v>14</v>
      </c>
      <c r="C34" s="72"/>
      <c r="D34" s="72"/>
      <c r="E34" s="72"/>
      <c r="F34" s="72"/>
      <c r="G34" s="72"/>
      <c r="H34" s="72"/>
      <c r="I34" s="72"/>
      <c r="J34" s="72"/>
      <c r="K34" s="72"/>
      <c r="L34" s="72"/>
      <c r="M34" s="72"/>
      <c r="N34" s="72"/>
      <c r="O34" s="72"/>
    </row>
  </sheetData>
  <sheetProtection algorithmName="SHA-512" hashValue="SKJTFJRrZRiOXiLQ22b1babmr4NJQygNtwItL3IaxfMD+wvvJn+4QVVyPj0ybIchW27mQ3RYGvLIGZwRJoHutw==" saltValue="bt9+CI3/BlRDmMBfvw6wuQ==" spinCount="100000" sheet="1" objects="1" scenarios="1" selectLockedCells="1"/>
  <mergeCells count="7">
    <mergeCell ref="B31:O31"/>
    <mergeCell ref="B34:O34"/>
    <mergeCell ref="G5:I5"/>
    <mergeCell ref="G2:O2"/>
    <mergeCell ref="C12:D12"/>
    <mergeCell ref="B22:F22"/>
    <mergeCell ref="B29:O29"/>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Data!$J$24:$J$41</xm:f>
          </x14:formula1>
          <xm:sqref>O8 I8 K8 M8</xm:sqref>
        </x14:dataValidation>
        <x14:dataValidation type="list" allowBlank="1" showInputMessage="1" showErrorMessage="1" xr:uid="{00000000-0002-0000-0400-000001000000}">
          <x14:formula1>
            <xm:f>Data!$A$27:$A$28</xm:f>
          </x14:formula1>
          <xm:sqref>G5:I5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64"/>
  <sheetViews>
    <sheetView showGridLines="0" showRowColHeaders="0" topLeftCell="A4" workbookViewId="0">
      <selection activeCell="B25" sqref="B25"/>
    </sheetView>
  </sheetViews>
  <sheetFormatPr defaultColWidth="8.85546875" defaultRowHeight="15" x14ac:dyDescent="0.25"/>
  <cols>
    <col min="5" max="5" width="12.140625" bestFit="1" customWidth="1"/>
    <col min="6" max="6" width="16.140625" customWidth="1"/>
    <col min="7" max="7" width="14" bestFit="1" customWidth="1"/>
    <col min="8" max="9" width="11.85546875" customWidth="1"/>
    <col min="10" max="10" width="12.7109375" bestFit="1" customWidth="1"/>
    <col min="11" max="11" width="13.85546875" bestFit="1" customWidth="1"/>
    <col min="12" max="12" width="14" bestFit="1" customWidth="1"/>
    <col min="13" max="13" width="11.85546875" customWidth="1"/>
  </cols>
  <sheetData>
    <row r="1" spans="1:22" x14ac:dyDescent="0.25">
      <c r="A1" s="8" t="s">
        <v>72</v>
      </c>
      <c r="F1" s="8" t="s">
        <v>75</v>
      </c>
    </row>
    <row r="2" spans="1:22" x14ac:dyDescent="0.25">
      <c r="A2" s="38" t="s">
        <v>41</v>
      </c>
      <c r="B2">
        <v>0</v>
      </c>
      <c r="C2">
        <v>0</v>
      </c>
      <c r="D2">
        <v>0</v>
      </c>
      <c r="F2" s="38" t="s">
        <v>41</v>
      </c>
      <c r="G2">
        <v>0</v>
      </c>
      <c r="H2">
        <v>0</v>
      </c>
      <c r="J2" s="85" t="s">
        <v>71</v>
      </c>
      <c r="K2" s="85"/>
      <c r="L2" s="85"/>
      <c r="M2" s="85"/>
      <c r="N2" s="85"/>
      <c r="O2" s="85"/>
      <c r="P2" s="85"/>
      <c r="Q2" s="85"/>
      <c r="R2" s="85"/>
      <c r="S2" s="85"/>
      <c r="T2" s="85"/>
      <c r="U2" s="85"/>
      <c r="V2" s="85"/>
    </row>
    <row r="3" spans="1:22" x14ac:dyDescent="0.25">
      <c r="A3" t="s">
        <v>24</v>
      </c>
      <c r="B3">
        <v>6448</v>
      </c>
      <c r="C3">
        <v>16</v>
      </c>
      <c r="D3">
        <v>53</v>
      </c>
      <c r="F3" t="s">
        <v>24</v>
      </c>
      <c r="G3">
        <v>5240</v>
      </c>
      <c r="H3">
        <v>16</v>
      </c>
      <c r="J3" s="85" t="s">
        <v>73</v>
      </c>
      <c r="K3" s="85"/>
      <c r="L3" s="85"/>
      <c r="M3" s="85"/>
      <c r="N3" s="85"/>
      <c r="O3" s="85"/>
      <c r="P3" s="85"/>
      <c r="Q3" s="85"/>
      <c r="R3" s="85"/>
      <c r="S3" s="85"/>
      <c r="T3" s="85"/>
      <c r="U3" s="85"/>
      <c r="V3" s="85"/>
    </row>
    <row r="4" spans="1:22" x14ac:dyDescent="0.25">
      <c r="A4" t="s">
        <v>25</v>
      </c>
      <c r="B4">
        <v>8060</v>
      </c>
      <c r="C4">
        <v>20</v>
      </c>
      <c r="D4">
        <v>53</v>
      </c>
      <c r="F4" t="s">
        <v>25</v>
      </c>
      <c r="G4">
        <v>6550</v>
      </c>
      <c r="H4">
        <v>20</v>
      </c>
      <c r="J4" s="85" t="s">
        <v>74</v>
      </c>
      <c r="K4" s="85"/>
      <c r="L4" s="85"/>
      <c r="M4" s="85"/>
      <c r="N4" s="85"/>
      <c r="O4" s="85"/>
      <c r="P4" s="85"/>
      <c r="Q4" s="85"/>
      <c r="R4" s="85"/>
      <c r="S4" s="85"/>
      <c r="T4" s="85"/>
      <c r="U4" s="85"/>
      <c r="V4" s="85"/>
    </row>
    <row r="5" spans="1:22" x14ac:dyDescent="0.25">
      <c r="A5" t="s">
        <v>26</v>
      </c>
      <c r="B5">
        <v>9672</v>
      </c>
      <c r="C5">
        <v>24</v>
      </c>
      <c r="D5">
        <v>53</v>
      </c>
      <c r="F5" t="s">
        <v>26</v>
      </c>
      <c r="G5">
        <v>7860</v>
      </c>
      <c r="H5">
        <v>24</v>
      </c>
    </row>
    <row r="6" spans="1:22" x14ac:dyDescent="0.25">
      <c r="A6" t="s">
        <v>27</v>
      </c>
      <c r="B6">
        <v>11284</v>
      </c>
      <c r="C6">
        <v>28</v>
      </c>
      <c r="D6">
        <v>53</v>
      </c>
      <c r="F6" t="s">
        <v>27</v>
      </c>
      <c r="G6">
        <v>9170</v>
      </c>
      <c r="H6">
        <v>28</v>
      </c>
    </row>
    <row r="7" spans="1:22" x14ac:dyDescent="0.25">
      <c r="A7" t="s">
        <v>28</v>
      </c>
      <c r="B7">
        <v>12896</v>
      </c>
      <c r="C7">
        <v>32</v>
      </c>
      <c r="D7">
        <v>53</v>
      </c>
      <c r="F7" t="s">
        <v>28</v>
      </c>
      <c r="G7">
        <v>10480</v>
      </c>
      <c r="H7">
        <v>32</v>
      </c>
    </row>
    <row r="8" spans="1:22" x14ac:dyDescent="0.25">
      <c r="A8" t="s">
        <v>29</v>
      </c>
      <c r="B8">
        <v>14508</v>
      </c>
      <c r="C8">
        <v>36</v>
      </c>
      <c r="D8">
        <v>53</v>
      </c>
      <c r="F8" t="s">
        <v>29</v>
      </c>
      <c r="G8">
        <v>11790</v>
      </c>
      <c r="H8">
        <v>36</v>
      </c>
    </row>
    <row r="9" spans="1:22" x14ac:dyDescent="0.25">
      <c r="A9" t="s">
        <v>30</v>
      </c>
      <c r="B9">
        <v>16120</v>
      </c>
      <c r="C9">
        <v>40</v>
      </c>
      <c r="D9">
        <v>53</v>
      </c>
      <c r="F9" t="s">
        <v>30</v>
      </c>
      <c r="G9">
        <v>13100</v>
      </c>
      <c r="H9">
        <v>40</v>
      </c>
    </row>
    <row r="10" spans="1:22" x14ac:dyDescent="0.25">
      <c r="A10" t="s">
        <v>31</v>
      </c>
      <c r="B10">
        <v>17732</v>
      </c>
      <c r="C10">
        <v>44</v>
      </c>
      <c r="D10">
        <v>53</v>
      </c>
      <c r="F10" t="s">
        <v>31</v>
      </c>
      <c r="G10">
        <v>14410</v>
      </c>
      <c r="H10">
        <v>44</v>
      </c>
    </row>
    <row r="11" spans="1:22" x14ac:dyDescent="0.25">
      <c r="A11" t="s">
        <v>32</v>
      </c>
      <c r="B11">
        <v>19344</v>
      </c>
      <c r="C11">
        <v>48</v>
      </c>
      <c r="D11">
        <v>53</v>
      </c>
      <c r="F11" t="s">
        <v>32</v>
      </c>
      <c r="G11">
        <v>15720</v>
      </c>
      <c r="H11">
        <v>48</v>
      </c>
    </row>
    <row r="12" spans="1:22" x14ac:dyDescent="0.25">
      <c r="A12" t="s">
        <v>33</v>
      </c>
      <c r="B12">
        <v>19344</v>
      </c>
      <c r="C12">
        <v>48</v>
      </c>
      <c r="D12">
        <v>53</v>
      </c>
      <c r="F12" t="s">
        <v>33</v>
      </c>
      <c r="G12">
        <v>17030</v>
      </c>
      <c r="H12">
        <v>52</v>
      </c>
    </row>
    <row r="13" spans="1:22" x14ac:dyDescent="0.25">
      <c r="A13" t="s">
        <v>34</v>
      </c>
      <c r="B13">
        <v>19344</v>
      </c>
      <c r="C13">
        <v>48</v>
      </c>
      <c r="D13">
        <v>53</v>
      </c>
      <c r="F13" t="s">
        <v>34</v>
      </c>
      <c r="G13">
        <v>18340</v>
      </c>
      <c r="H13">
        <v>56</v>
      </c>
    </row>
    <row r="14" spans="1:22" x14ac:dyDescent="0.25">
      <c r="A14" t="s">
        <v>35</v>
      </c>
      <c r="B14">
        <v>19344</v>
      </c>
      <c r="C14">
        <v>48</v>
      </c>
      <c r="D14">
        <v>53</v>
      </c>
      <c r="F14" t="s">
        <v>35</v>
      </c>
      <c r="G14">
        <v>19650</v>
      </c>
      <c r="H14">
        <v>60</v>
      </c>
    </row>
    <row r="15" spans="1:22" x14ac:dyDescent="0.25">
      <c r="A15" t="s">
        <v>36</v>
      </c>
      <c r="B15">
        <v>19344</v>
      </c>
      <c r="C15">
        <v>48</v>
      </c>
      <c r="D15">
        <v>53</v>
      </c>
      <c r="F15" t="s">
        <v>36</v>
      </c>
      <c r="G15">
        <v>20960</v>
      </c>
      <c r="H15">
        <v>64</v>
      </c>
    </row>
    <row r="16" spans="1:22" x14ac:dyDescent="0.25">
      <c r="A16" t="s">
        <v>37</v>
      </c>
      <c r="B16">
        <v>19344</v>
      </c>
      <c r="C16">
        <v>48</v>
      </c>
      <c r="D16">
        <v>53</v>
      </c>
      <c r="F16" t="s">
        <v>37</v>
      </c>
      <c r="G16">
        <v>22270</v>
      </c>
      <c r="H16">
        <v>68</v>
      </c>
    </row>
    <row r="17" spans="1:22" x14ac:dyDescent="0.25">
      <c r="A17" t="s">
        <v>38</v>
      </c>
      <c r="B17">
        <v>19344</v>
      </c>
      <c r="C17">
        <v>48</v>
      </c>
      <c r="D17">
        <v>53</v>
      </c>
      <c r="F17" t="s">
        <v>38</v>
      </c>
      <c r="G17">
        <v>23580</v>
      </c>
      <c r="H17">
        <v>72</v>
      </c>
    </row>
    <row r="18" spans="1:22" x14ac:dyDescent="0.25">
      <c r="A18" t="s">
        <v>39</v>
      </c>
      <c r="B18">
        <v>20956</v>
      </c>
      <c r="C18">
        <v>52</v>
      </c>
      <c r="D18">
        <v>53</v>
      </c>
      <c r="F18" t="s">
        <v>39</v>
      </c>
      <c r="G18">
        <v>24890</v>
      </c>
      <c r="H18">
        <v>76</v>
      </c>
    </row>
    <row r="19" spans="1:22" x14ac:dyDescent="0.25">
      <c r="A19" t="s">
        <v>40</v>
      </c>
      <c r="B19">
        <v>22568</v>
      </c>
      <c r="C19">
        <v>56</v>
      </c>
      <c r="D19">
        <v>53</v>
      </c>
      <c r="F19" t="s">
        <v>40</v>
      </c>
      <c r="G19">
        <v>26200</v>
      </c>
      <c r="H19">
        <v>80</v>
      </c>
    </row>
    <row r="20" spans="1:22" x14ac:dyDescent="0.25">
      <c r="A20" t="s">
        <v>44</v>
      </c>
      <c r="B20">
        <v>24180</v>
      </c>
      <c r="C20">
        <v>60</v>
      </c>
      <c r="D20">
        <v>53</v>
      </c>
      <c r="F20" t="s">
        <v>44</v>
      </c>
      <c r="G20">
        <v>27510</v>
      </c>
      <c r="H20">
        <v>84</v>
      </c>
    </row>
    <row r="21" spans="1:22" x14ac:dyDescent="0.25">
      <c r="A21" t="s">
        <v>45</v>
      </c>
      <c r="B21">
        <v>25792</v>
      </c>
      <c r="C21">
        <v>64</v>
      </c>
      <c r="D21">
        <v>53</v>
      </c>
      <c r="F21" t="s">
        <v>45</v>
      </c>
      <c r="G21">
        <v>28820</v>
      </c>
      <c r="H21">
        <v>88</v>
      </c>
    </row>
    <row r="23" spans="1:22" x14ac:dyDescent="0.25">
      <c r="A23" s="8" t="s">
        <v>21</v>
      </c>
      <c r="E23" s="8" t="s">
        <v>78</v>
      </c>
      <c r="F23" s="8"/>
      <c r="G23" s="44" t="s">
        <v>43</v>
      </c>
      <c r="I23" s="8"/>
      <c r="J23" s="8" t="s">
        <v>51</v>
      </c>
      <c r="K23" s="44" t="s">
        <v>76</v>
      </c>
      <c r="L23" s="44" t="s">
        <v>77</v>
      </c>
      <c r="M23" s="44" t="s">
        <v>43</v>
      </c>
      <c r="N23" s="60"/>
      <c r="O23" s="60"/>
      <c r="P23" s="60"/>
      <c r="Q23" s="60"/>
      <c r="R23" s="60"/>
      <c r="S23" s="60"/>
      <c r="T23" s="60"/>
      <c r="U23" s="60"/>
      <c r="V23" s="60"/>
    </row>
    <row r="24" spans="1:22" x14ac:dyDescent="0.25">
      <c r="A24" t="s">
        <v>4</v>
      </c>
      <c r="B24">
        <v>1885</v>
      </c>
      <c r="C24">
        <v>233</v>
      </c>
      <c r="E24" s="38" t="s">
        <v>41</v>
      </c>
      <c r="F24" s="38">
        <v>0</v>
      </c>
      <c r="G24">
        <v>0</v>
      </c>
      <c r="J24" s="38" t="s">
        <v>41</v>
      </c>
      <c r="K24" s="38">
        <v>0</v>
      </c>
      <c r="L24" s="38">
        <v>0</v>
      </c>
      <c r="M24">
        <v>0</v>
      </c>
      <c r="N24" s="60"/>
      <c r="O24" s="60"/>
      <c r="P24" s="60"/>
      <c r="Q24" s="60"/>
      <c r="R24" s="60"/>
      <c r="S24" s="60"/>
      <c r="T24" s="60"/>
      <c r="U24" s="60"/>
      <c r="V24" s="60"/>
    </row>
    <row r="25" spans="1:22" x14ac:dyDescent="0.25">
      <c r="A25" t="s">
        <v>5</v>
      </c>
      <c r="B25">
        <v>0</v>
      </c>
      <c r="C25">
        <v>0</v>
      </c>
      <c r="E25" t="s">
        <v>24</v>
      </c>
      <c r="F25">
        <v>3224</v>
      </c>
      <c r="G25">
        <v>16</v>
      </c>
      <c r="J25" t="s">
        <v>24</v>
      </c>
      <c r="K25">
        <v>4320</v>
      </c>
      <c r="L25">
        <v>4656</v>
      </c>
      <c r="M25">
        <v>16</v>
      </c>
    </row>
    <row r="26" spans="1:22" x14ac:dyDescent="0.25">
      <c r="E26" t="s">
        <v>25</v>
      </c>
      <c r="F26">
        <v>4030</v>
      </c>
      <c r="G26">
        <v>20</v>
      </c>
      <c r="J26" t="s">
        <v>25</v>
      </c>
      <c r="K26">
        <v>5400</v>
      </c>
      <c r="L26">
        <v>5820</v>
      </c>
      <c r="M26">
        <v>20</v>
      </c>
    </row>
    <row r="27" spans="1:22" x14ac:dyDescent="0.25">
      <c r="A27" t="s">
        <v>49</v>
      </c>
      <c r="E27" t="s">
        <v>26</v>
      </c>
      <c r="F27">
        <v>4836</v>
      </c>
      <c r="G27">
        <v>24</v>
      </c>
      <c r="J27" t="s">
        <v>26</v>
      </c>
      <c r="K27">
        <v>6480</v>
      </c>
      <c r="L27">
        <v>6984</v>
      </c>
      <c r="M27">
        <v>24</v>
      </c>
    </row>
    <row r="28" spans="1:22" x14ac:dyDescent="0.25">
      <c r="A28" t="s">
        <v>50</v>
      </c>
      <c r="E28" t="s">
        <v>27</v>
      </c>
      <c r="F28">
        <v>5642</v>
      </c>
      <c r="G28">
        <v>28</v>
      </c>
      <c r="J28" t="s">
        <v>27</v>
      </c>
      <c r="K28">
        <v>7560</v>
      </c>
      <c r="L28">
        <v>8148</v>
      </c>
      <c r="M28">
        <v>28</v>
      </c>
    </row>
    <row r="29" spans="1:22" x14ac:dyDescent="0.25">
      <c r="E29" t="s">
        <v>28</v>
      </c>
      <c r="F29">
        <v>6448</v>
      </c>
      <c r="G29">
        <v>32</v>
      </c>
      <c r="J29" t="s">
        <v>28</v>
      </c>
      <c r="K29">
        <v>8640</v>
      </c>
      <c r="L29">
        <v>9312</v>
      </c>
      <c r="M29">
        <v>32</v>
      </c>
    </row>
    <row r="30" spans="1:22" x14ac:dyDescent="0.25">
      <c r="A30" t="s">
        <v>61</v>
      </c>
      <c r="E30" t="s">
        <v>29</v>
      </c>
      <c r="F30">
        <v>7254</v>
      </c>
      <c r="G30">
        <v>36</v>
      </c>
      <c r="J30" t="s">
        <v>29</v>
      </c>
      <c r="K30">
        <v>9720</v>
      </c>
      <c r="L30">
        <v>10476</v>
      </c>
      <c r="M30">
        <v>36</v>
      </c>
    </row>
    <row r="31" spans="1:22" x14ac:dyDescent="0.25">
      <c r="A31" t="s">
        <v>62</v>
      </c>
      <c r="E31" t="s">
        <v>30</v>
      </c>
      <c r="F31">
        <v>8060</v>
      </c>
      <c r="G31">
        <v>40</v>
      </c>
      <c r="J31" t="s">
        <v>30</v>
      </c>
      <c r="K31">
        <v>10800</v>
      </c>
      <c r="L31">
        <v>11640</v>
      </c>
      <c r="M31">
        <v>40</v>
      </c>
    </row>
    <row r="32" spans="1:22" x14ac:dyDescent="0.25">
      <c r="E32" t="s">
        <v>31</v>
      </c>
      <c r="F32">
        <v>8866</v>
      </c>
      <c r="G32">
        <v>44</v>
      </c>
      <c r="J32" t="s">
        <v>31</v>
      </c>
      <c r="K32">
        <v>11880</v>
      </c>
      <c r="L32">
        <v>12804</v>
      </c>
      <c r="M32">
        <v>44</v>
      </c>
    </row>
    <row r="33" spans="1:13" x14ac:dyDescent="0.25">
      <c r="E33" t="s">
        <v>32</v>
      </c>
      <c r="F33">
        <v>9672</v>
      </c>
      <c r="G33">
        <v>48</v>
      </c>
      <c r="J33" t="s">
        <v>32</v>
      </c>
      <c r="K33">
        <v>12960</v>
      </c>
      <c r="L33">
        <v>13968</v>
      </c>
      <c r="M33">
        <v>48</v>
      </c>
    </row>
    <row r="34" spans="1:13" x14ac:dyDescent="0.25">
      <c r="E34" t="s">
        <v>33</v>
      </c>
      <c r="F34">
        <v>10478</v>
      </c>
      <c r="G34">
        <v>52</v>
      </c>
      <c r="J34" t="s">
        <v>33</v>
      </c>
      <c r="K34">
        <v>14040</v>
      </c>
      <c r="L34">
        <v>15132</v>
      </c>
      <c r="M34">
        <v>52</v>
      </c>
    </row>
    <row r="35" spans="1:13" x14ac:dyDescent="0.25">
      <c r="E35" t="s">
        <v>34</v>
      </c>
      <c r="F35">
        <v>11284</v>
      </c>
      <c r="G35">
        <v>56</v>
      </c>
      <c r="J35" t="s">
        <v>34</v>
      </c>
      <c r="K35">
        <v>15120</v>
      </c>
      <c r="L35">
        <v>16296</v>
      </c>
      <c r="M35">
        <v>56</v>
      </c>
    </row>
    <row r="36" spans="1:13" x14ac:dyDescent="0.25">
      <c r="E36" t="s">
        <v>35</v>
      </c>
      <c r="F36">
        <v>12090</v>
      </c>
      <c r="G36">
        <v>60</v>
      </c>
      <c r="J36" t="s">
        <v>35</v>
      </c>
      <c r="K36">
        <v>16200</v>
      </c>
      <c r="L36">
        <v>17460</v>
      </c>
      <c r="M36">
        <v>60</v>
      </c>
    </row>
    <row r="37" spans="1:13" x14ac:dyDescent="0.25">
      <c r="E37" t="s">
        <v>36</v>
      </c>
      <c r="F37">
        <v>12896</v>
      </c>
      <c r="G37">
        <v>64</v>
      </c>
      <c r="J37" t="s">
        <v>36</v>
      </c>
      <c r="K37">
        <v>17280</v>
      </c>
      <c r="L37">
        <v>18624</v>
      </c>
      <c r="M37">
        <v>64</v>
      </c>
    </row>
    <row r="38" spans="1:13" x14ac:dyDescent="0.25">
      <c r="E38" t="s">
        <v>37</v>
      </c>
      <c r="F38">
        <v>13702</v>
      </c>
      <c r="G38">
        <v>68</v>
      </c>
      <c r="J38" t="s">
        <v>37</v>
      </c>
      <c r="K38">
        <v>18360</v>
      </c>
      <c r="L38">
        <v>19788</v>
      </c>
      <c r="M38">
        <v>68</v>
      </c>
    </row>
    <row r="39" spans="1:13" x14ac:dyDescent="0.25">
      <c r="E39" t="s">
        <v>38</v>
      </c>
      <c r="F39">
        <v>14508</v>
      </c>
      <c r="G39">
        <v>72</v>
      </c>
      <c r="J39" t="s">
        <v>38</v>
      </c>
      <c r="K39">
        <v>19440</v>
      </c>
      <c r="L39">
        <v>20952</v>
      </c>
      <c r="M39">
        <v>72</v>
      </c>
    </row>
    <row r="40" spans="1:13" x14ac:dyDescent="0.25">
      <c r="E40" t="s">
        <v>39</v>
      </c>
      <c r="F40">
        <v>15314</v>
      </c>
      <c r="G40">
        <v>76</v>
      </c>
      <c r="J40" t="s">
        <v>39</v>
      </c>
      <c r="K40">
        <v>20520</v>
      </c>
      <c r="L40">
        <v>22116</v>
      </c>
      <c r="M40">
        <v>76</v>
      </c>
    </row>
    <row r="41" spans="1:13" x14ac:dyDescent="0.25">
      <c r="E41" t="s">
        <v>40</v>
      </c>
      <c r="F41">
        <v>16120</v>
      </c>
      <c r="G41">
        <v>80</v>
      </c>
      <c r="J41" t="s">
        <v>40</v>
      </c>
      <c r="K41">
        <v>21600</v>
      </c>
      <c r="L41">
        <v>23280</v>
      </c>
      <c r="M41">
        <v>80</v>
      </c>
    </row>
    <row r="43" spans="1:13" x14ac:dyDescent="0.25">
      <c r="E43" s="8"/>
      <c r="F43" s="44"/>
      <c r="G43" s="44"/>
      <c r="H43" s="44"/>
      <c r="I43" s="8"/>
    </row>
    <row r="44" spans="1:13" x14ac:dyDescent="0.25">
      <c r="A44" s="8" t="s">
        <v>81</v>
      </c>
      <c r="E44" s="38"/>
      <c r="F44" s="38"/>
      <c r="G44" s="38"/>
    </row>
    <row r="45" spans="1:13" x14ac:dyDescent="0.25">
      <c r="A45" s="38" t="s">
        <v>41</v>
      </c>
      <c r="B45">
        <v>0</v>
      </c>
      <c r="C45">
        <v>0</v>
      </c>
      <c r="D45">
        <v>0</v>
      </c>
      <c r="F45" s="38"/>
      <c r="G45" s="38"/>
    </row>
    <row r="46" spans="1:13" x14ac:dyDescent="0.25">
      <c r="A46" t="s">
        <v>24</v>
      </c>
      <c r="B46">
        <v>6448</v>
      </c>
      <c r="C46">
        <v>16</v>
      </c>
      <c r="D46">
        <v>53</v>
      </c>
      <c r="F46" s="38"/>
      <c r="G46" s="38"/>
    </row>
    <row r="47" spans="1:13" x14ac:dyDescent="0.25">
      <c r="A47" t="s">
        <v>25</v>
      </c>
      <c r="B47">
        <v>8060</v>
      </c>
      <c r="C47">
        <v>20</v>
      </c>
      <c r="D47">
        <v>53</v>
      </c>
      <c r="F47" s="38"/>
      <c r="G47" s="38"/>
    </row>
    <row r="48" spans="1:13" x14ac:dyDescent="0.25">
      <c r="A48" t="s">
        <v>26</v>
      </c>
      <c r="B48">
        <v>9672</v>
      </c>
      <c r="C48">
        <v>24</v>
      </c>
      <c r="D48">
        <v>53</v>
      </c>
      <c r="F48" s="38"/>
      <c r="G48" s="38"/>
    </row>
    <row r="49" spans="1:7" x14ac:dyDescent="0.25">
      <c r="A49" t="s">
        <v>27</v>
      </c>
      <c r="B49">
        <v>11284</v>
      </c>
      <c r="C49">
        <v>28</v>
      </c>
      <c r="D49">
        <v>53</v>
      </c>
      <c r="F49" s="38"/>
      <c r="G49" s="38"/>
    </row>
    <row r="50" spans="1:7" x14ac:dyDescent="0.25">
      <c r="A50" t="s">
        <v>28</v>
      </c>
      <c r="B50">
        <v>12896</v>
      </c>
      <c r="C50">
        <v>32</v>
      </c>
      <c r="D50">
        <v>53</v>
      </c>
      <c r="F50" s="38"/>
      <c r="G50" s="38"/>
    </row>
    <row r="51" spans="1:7" x14ac:dyDescent="0.25">
      <c r="A51" t="s">
        <v>29</v>
      </c>
      <c r="B51">
        <v>14508</v>
      </c>
      <c r="C51">
        <v>36</v>
      </c>
      <c r="D51">
        <v>53</v>
      </c>
      <c r="F51" s="38"/>
      <c r="G51" s="38"/>
    </row>
    <row r="52" spans="1:7" x14ac:dyDescent="0.25">
      <c r="A52" t="s">
        <v>30</v>
      </c>
      <c r="B52">
        <v>16120</v>
      </c>
      <c r="C52">
        <v>40</v>
      </c>
      <c r="D52">
        <v>53</v>
      </c>
      <c r="F52" s="38"/>
      <c r="G52" s="38"/>
    </row>
    <row r="53" spans="1:7" x14ac:dyDescent="0.25">
      <c r="A53" t="s">
        <v>31</v>
      </c>
      <c r="B53">
        <v>17732</v>
      </c>
      <c r="C53">
        <v>44</v>
      </c>
      <c r="D53">
        <v>53</v>
      </c>
      <c r="F53" s="38"/>
      <c r="G53" s="38"/>
    </row>
    <row r="54" spans="1:7" x14ac:dyDescent="0.25">
      <c r="A54" t="s">
        <v>32</v>
      </c>
      <c r="B54">
        <v>19344</v>
      </c>
      <c r="C54">
        <v>48</v>
      </c>
      <c r="D54">
        <v>53</v>
      </c>
      <c r="F54" s="38"/>
      <c r="G54" s="38"/>
    </row>
    <row r="55" spans="1:7" x14ac:dyDescent="0.25">
      <c r="A55" t="s">
        <v>33</v>
      </c>
      <c r="B55">
        <v>20956</v>
      </c>
      <c r="C55">
        <v>52</v>
      </c>
      <c r="D55">
        <v>53</v>
      </c>
      <c r="F55" s="38"/>
      <c r="G55" s="38"/>
    </row>
    <row r="56" spans="1:7" x14ac:dyDescent="0.25">
      <c r="A56" t="s">
        <v>34</v>
      </c>
      <c r="B56">
        <v>22568</v>
      </c>
      <c r="C56">
        <v>56</v>
      </c>
      <c r="D56">
        <v>53</v>
      </c>
      <c r="F56" s="38"/>
      <c r="G56" s="38"/>
    </row>
    <row r="57" spans="1:7" x14ac:dyDescent="0.25">
      <c r="A57" t="s">
        <v>35</v>
      </c>
      <c r="B57">
        <v>24180</v>
      </c>
      <c r="C57">
        <v>60</v>
      </c>
      <c r="D57">
        <v>53</v>
      </c>
      <c r="F57" s="38"/>
      <c r="G57" s="38"/>
    </row>
    <row r="58" spans="1:7" x14ac:dyDescent="0.25">
      <c r="A58" t="s">
        <v>36</v>
      </c>
      <c r="B58">
        <v>25792</v>
      </c>
      <c r="C58">
        <v>64</v>
      </c>
      <c r="D58">
        <v>53</v>
      </c>
      <c r="F58" s="38"/>
      <c r="G58" s="38"/>
    </row>
    <row r="59" spans="1:7" x14ac:dyDescent="0.25">
      <c r="A59" t="s">
        <v>37</v>
      </c>
      <c r="B59">
        <v>27404</v>
      </c>
      <c r="C59">
        <v>68</v>
      </c>
      <c r="D59">
        <v>53</v>
      </c>
      <c r="F59" s="38"/>
      <c r="G59" s="38"/>
    </row>
    <row r="60" spans="1:7" x14ac:dyDescent="0.25">
      <c r="A60" t="s">
        <v>38</v>
      </c>
      <c r="B60">
        <v>29016</v>
      </c>
      <c r="C60">
        <v>72</v>
      </c>
      <c r="D60">
        <v>53</v>
      </c>
      <c r="F60" s="38"/>
      <c r="G60" s="38"/>
    </row>
    <row r="61" spans="1:7" x14ac:dyDescent="0.25">
      <c r="A61" t="s">
        <v>39</v>
      </c>
      <c r="B61">
        <v>30628</v>
      </c>
      <c r="C61">
        <v>76</v>
      </c>
      <c r="D61">
        <v>53</v>
      </c>
      <c r="F61" s="38"/>
      <c r="G61" s="38"/>
    </row>
    <row r="62" spans="1:7" x14ac:dyDescent="0.25">
      <c r="A62" t="s">
        <v>40</v>
      </c>
      <c r="B62">
        <v>32240</v>
      </c>
      <c r="C62">
        <v>80</v>
      </c>
      <c r="D62">
        <v>53</v>
      </c>
    </row>
    <row r="63" spans="1:7" x14ac:dyDescent="0.25">
      <c r="A63" t="s">
        <v>44</v>
      </c>
      <c r="B63">
        <v>33852</v>
      </c>
      <c r="C63">
        <v>84</v>
      </c>
      <c r="D63">
        <v>53</v>
      </c>
    </row>
    <row r="64" spans="1:7" x14ac:dyDescent="0.25">
      <c r="A64" t="s">
        <v>45</v>
      </c>
      <c r="B64">
        <v>35464</v>
      </c>
      <c r="C64">
        <v>88</v>
      </c>
      <c r="D64">
        <v>53</v>
      </c>
    </row>
  </sheetData>
  <sheetProtection algorithmName="SHA-512" hashValue="GNtqj+YtbIqMm7+qd6rRY8C5JqkRqMs15vtkskLI7ZDAnz4Ccb2wx5QATN3QYoIMAHz0QbCANw8qLmd8XLr9Yw==" saltValue="FYKBNiIsoN/c1bDj12QJCg==" spinCount="100000" sheet="1" objects="1" scenarios="1" selectLockedCells="1" selectUnlockedCells="1"/>
  <mergeCells count="3">
    <mergeCell ref="J2:V2"/>
    <mergeCell ref="J3:V3"/>
    <mergeCell ref="J4:V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On-Campus MSW</vt:lpstr>
      <vt:lpstr>On-Campus PhD</vt:lpstr>
      <vt:lpstr>West. CO &amp; 4 Corners</vt:lpstr>
      <vt:lpstr>MSW@Denver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2023-03-06T15:27:57Z</dcterms:modified>
</cp:coreProperties>
</file>