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mc:AlternateContent xmlns:mc="http://schemas.openxmlformats.org/markup-compatibility/2006">
    <mc:Choice Requires="x15">
      <x15ac:absPath xmlns:x15ac="http://schemas.microsoft.com/office/spreadsheetml/2010/11/ac" url="R:\Financial Aid\Communication\2324\Billing Worksheets\"/>
    </mc:Choice>
  </mc:AlternateContent>
  <xr:revisionPtr revIDLastSave="0" documentId="13_ncr:1_{CD438615-17EE-4CA0-85B6-37693C184BB2}" xr6:coauthVersionLast="47" xr6:coauthVersionMax="47" xr10:uidLastSave="{00000000-0000-0000-0000-000000000000}"/>
  <workbookProtection workbookAlgorithmName="SHA-512" workbookHashValue="Z6i+Bw5LHCILJNGO8N82xg3yMk+q9Y2FQI0ffo/bcDzsv2szPWMByOxC1SgZ3nsDhUZe3CiE7r6Pd4+B/ypEeQ==" workbookSaltValue="p/82niFtt4lqR4RrnXUtqQ==" workbookSpinCount="100000" lockStructure="1"/>
  <bookViews>
    <workbookView xWindow="34710" yWindow="1860" windowWidth="18870" windowHeight="12525" tabRatio="721" xr2:uid="{00000000-000D-0000-FFFF-FFFF00000000}"/>
  </bookViews>
  <sheets>
    <sheet name="Worksheets Home" sheetId="4" r:id="rId1"/>
    <sheet name="Cyber Sec." sheetId="34" r:id="rId2"/>
    <sheet name="Data Sci" sheetId="32" r:id="rId3"/>
    <sheet name="Data Sci - Online" sheetId="15" r:id="rId4"/>
    <sheet name="All Other" sheetId="33" r:id="rId5"/>
    <sheet name="Data" sheetId="31" state="hidden" r:id="rId6"/>
  </sheets>
  <definedNames>
    <definedName name="Credits" localSheetId="4">#REF!</definedName>
    <definedName name="Credits" localSheetId="1">#REF!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33" l="1"/>
  <c r="L17" i="33"/>
  <c r="J17" i="33"/>
  <c r="N15" i="32"/>
  <c r="J15" i="32"/>
  <c r="L15" i="32"/>
  <c r="N17" i="34"/>
  <c r="L17" i="34"/>
  <c r="J17" i="34"/>
  <c r="N24" i="33"/>
  <c r="L24" i="33"/>
  <c r="J24" i="33"/>
  <c r="N23" i="33"/>
  <c r="L23" i="33"/>
  <c r="J23" i="33"/>
  <c r="O19" i="15"/>
  <c r="M19" i="15"/>
  <c r="K19" i="15"/>
  <c r="I19" i="15"/>
  <c r="O18" i="15"/>
  <c r="M18" i="15"/>
  <c r="K18" i="15"/>
  <c r="I18" i="15"/>
  <c r="N22" i="32"/>
  <c r="L22" i="32"/>
  <c r="J22" i="32"/>
  <c r="N21" i="32"/>
  <c r="L21" i="32"/>
  <c r="J21" i="32"/>
  <c r="N24" i="34"/>
  <c r="L24" i="34"/>
  <c r="J24" i="34"/>
  <c r="N23" i="34"/>
  <c r="L23" i="34"/>
  <c r="J23" i="34"/>
  <c r="N12" i="32" l="1"/>
  <c r="L12" i="32"/>
  <c r="J12" i="32"/>
  <c r="N10" i="32"/>
  <c r="L10" i="32"/>
  <c r="J10" i="32"/>
  <c r="O12" i="15"/>
  <c r="M12" i="15"/>
  <c r="K12" i="15"/>
  <c r="I12" i="15"/>
  <c r="O11" i="15"/>
  <c r="M11" i="15"/>
  <c r="K11" i="15"/>
  <c r="I11" i="15"/>
  <c r="C32" i="34" l="1"/>
  <c r="N14" i="34"/>
  <c r="L14" i="34"/>
  <c r="J14" i="34"/>
  <c r="N12" i="34"/>
  <c r="L12" i="34"/>
  <c r="J12" i="34"/>
  <c r="H26" i="34"/>
  <c r="N25" i="34"/>
  <c r="L25" i="34"/>
  <c r="J25" i="34"/>
  <c r="N22" i="34"/>
  <c r="L22" i="34"/>
  <c r="J22" i="34"/>
  <c r="N21" i="34"/>
  <c r="L21" i="34"/>
  <c r="J21" i="34"/>
  <c r="N16" i="34"/>
  <c r="J16" i="34"/>
  <c r="N15" i="34"/>
  <c r="L15" i="34"/>
  <c r="J15" i="34"/>
  <c r="C32" i="33"/>
  <c r="N14" i="33"/>
  <c r="L14" i="33"/>
  <c r="J14" i="33"/>
  <c r="N12" i="33"/>
  <c r="L12" i="33"/>
  <c r="J12" i="33"/>
  <c r="H26" i="33"/>
  <c r="N25" i="33"/>
  <c r="L25" i="33"/>
  <c r="J25" i="33"/>
  <c r="N22" i="33"/>
  <c r="L22" i="33"/>
  <c r="J22" i="33"/>
  <c r="N21" i="33"/>
  <c r="L21" i="33"/>
  <c r="J21" i="33"/>
  <c r="N16" i="33"/>
  <c r="J16" i="33"/>
  <c r="N15" i="33"/>
  <c r="L15" i="33"/>
  <c r="J15" i="33"/>
  <c r="H23" i="34" l="1"/>
  <c r="H24" i="33"/>
  <c r="N27" i="34"/>
  <c r="H16" i="33"/>
  <c r="H15" i="33"/>
  <c r="H23" i="33"/>
  <c r="L27" i="33"/>
  <c r="N27" i="33"/>
  <c r="J27" i="33"/>
  <c r="H17" i="33"/>
  <c r="H15" i="34"/>
  <c r="H17" i="34"/>
  <c r="L27" i="34"/>
  <c r="H16" i="34"/>
  <c r="J27" i="34"/>
  <c r="H24" i="34"/>
  <c r="N18" i="34"/>
  <c r="L18" i="34"/>
  <c r="H14" i="34"/>
  <c r="J18" i="34"/>
  <c r="H12" i="34"/>
  <c r="L18" i="33"/>
  <c r="H14" i="33"/>
  <c r="J18" i="33"/>
  <c r="N18" i="33"/>
  <c r="H12" i="33"/>
  <c r="H27" i="33" l="1"/>
  <c r="H27" i="34"/>
  <c r="H18" i="33"/>
  <c r="H29" i="33" s="1"/>
  <c r="N29" i="34"/>
  <c r="L29" i="33"/>
  <c r="N29" i="33"/>
  <c r="J29" i="33"/>
  <c r="L29" i="34"/>
  <c r="J29" i="34"/>
  <c r="H18" i="34"/>
  <c r="H29" i="34" s="1"/>
  <c r="G19" i="15" l="1"/>
  <c r="G18" i="15"/>
  <c r="N14" i="32" l="1"/>
  <c r="J14" i="32"/>
  <c r="N13" i="32" l="1"/>
  <c r="L13" i="32"/>
  <c r="J13" i="32"/>
  <c r="J19" i="32"/>
  <c r="L19" i="32"/>
  <c r="N19" i="32"/>
  <c r="J20" i="32"/>
  <c r="L20" i="32"/>
  <c r="N20" i="32"/>
  <c r="J23" i="32"/>
  <c r="L23" i="32"/>
  <c r="N23" i="32"/>
  <c r="H24" i="32"/>
  <c r="H13" i="32" l="1"/>
  <c r="N16" i="32"/>
  <c r="H14" i="32"/>
  <c r="H15" i="32"/>
  <c r="L16" i="32"/>
  <c r="H12" i="32"/>
  <c r="H10" i="32"/>
  <c r="J25" i="32"/>
  <c r="H21" i="32"/>
  <c r="N25" i="32"/>
  <c r="L25" i="32"/>
  <c r="H22" i="32"/>
  <c r="J16" i="32"/>
  <c r="N27" i="32" l="1"/>
  <c r="L27" i="32"/>
  <c r="H16" i="32"/>
  <c r="J27" i="32"/>
  <c r="H25" i="32"/>
  <c r="H27" i="32" l="1"/>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<sst xmlns="http://schemas.openxmlformats.org/spreadsheetml/2006/main" count="242" uniqueCount="81">
  <si>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</si>
  <si>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</si>
  <si>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</si>
  <si>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</si>
  <si>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</si>
  <si>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</si>
  <si>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</si>
  <si>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</si>
  <si>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</si>
  <si>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</si>
  <si>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</si>
  <si>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</si>
  <si>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</si>
  <si>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</si>
  <si>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</si>
  <si>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</si>
  <si>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</si>
  <si>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</si>
  <si>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</si>
  <si>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</si>
  <si>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</si>
  <si>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</si>
  <si>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</si>
  <si>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</si>
  <si>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</si>
  <si>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</si>
  <si>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</si>
  <si>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</si>
  <si>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</si>
  <si>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</si>
  <si>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</si>
  <si>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</si>
  <si>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</si>
  <si>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</si>
  <si>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</si>
  <si>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</si>
  <si>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</si>
  <si>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</si>
  <si>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</si>
  <si>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</si>
  <si>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</si>
  <si>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</si>
  <si>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</si>
  <si>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</si>
  <si>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Student Fee</t>
  </si>
  <si>
    <t>21 credits</t>
  </si>
  <si>
    <t>22 credits</t>
  </si>
  <si>
    <t xml:space="preserve">Will you use DU's Health &amp; Counseling Services? </t>
  </si>
  <si>
    <t>Will you enroll in DU's Health Insurance Plan?</t>
  </si>
  <si>
    <t>Technology fees are $4 per credit. If you will be enrolled in less than 4 credits, you will not be eligible for federal student loans.</t>
  </si>
  <si>
    <t>When will/did you start this program?</t>
  </si>
  <si>
    <t>2020 Fall Quarter or Later</t>
  </si>
  <si>
    <t>Prior to 2020 Fall Quarter</t>
  </si>
  <si>
    <t>Choose Your Program:</t>
  </si>
  <si>
    <t>Data Science - Online Program</t>
  </si>
  <si>
    <t>Data Science - On-Campus Program</t>
  </si>
  <si>
    <t>Cyber Security Program</t>
  </si>
  <si>
    <t>All other programs</t>
  </si>
  <si>
    <t>This worksheet automatically deducts the 1.057% origination fee from the Direct Unsubsidized loan amount.</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</si>
  <si>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</si>
  <si>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t>
    </r>
  </si>
  <si>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</si>
  <si>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r>
      <t xml:space="preserve">2023-24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</si>
  <si>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2023-2024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</si>
  <si>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WINTER 2024:</t>
  </si>
  <si>
    <t>SPRING 2024:</t>
  </si>
  <si>
    <t>WINTER 2024</t>
  </si>
  <si>
    <t>SPRING 2024</t>
  </si>
  <si>
    <t>FALL 2023:</t>
  </si>
  <si>
    <t>FALL 2023</t>
  </si>
  <si>
    <t>2023-24 Estimated Billing Worksheet
Cyber Security Program</t>
  </si>
  <si>
    <t>2023-24 Estimated Billing Worksheet
Data Science - On-Campus Program</t>
  </si>
  <si>
    <t>SUMMER 2024:</t>
  </si>
  <si>
    <t>SUMMER 2024</t>
  </si>
  <si>
    <t>2023-24 Estimated Billing Worksheet
DataScience@Denver Online Program</t>
  </si>
  <si>
    <t>2023-24 Estimated Billing Worksheet
Most Programs</t>
  </si>
  <si>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</si>
  <si>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</si>
  <si>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</si>
  <si>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</si>
  <si>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r>
      <t>1</t>
    </r>
    <r>
      <rPr>
        <sz val="11"/>
        <color theme="1"/>
        <rFont val="Calibri"/>
        <family val="2"/>
        <scheme val="minor"/>
      </rPr>
      <t>Tuition for the 2023-2024 academic year is $1,178 per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</si>
</sst>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14">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right style="dashed">
        <color indexed="64"/>
      </right>
      <top/>
      <bottom style="thin">
        <color indexed="64"/>
      </bottom>
      <diagonal/>
    </border>
    <border>
      <left style="dotted">
        <color indexed="64"/>
      </left>
      <right style="dotted">
        <color indexed="64"/>
      </right>
      <top style="dotted">
        <color indexed="64"/>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7">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NumberFormat="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Fill="1" applyBorder="1" applyAlignment="1" applyProtection="1">
      <alignment horizontal="center" wrapText="1"/>
      <protection locked="0"/>
    </xf>
    <xf numFmtId="44" fontId="10" fillId="0" borderId="7" xfId="1" applyFont="1" applyBorder="1"/>
    <xf numFmtId="0" fontId="10" fillId="0" borderId="7" xfId="0" applyFont="1" applyBorder="1"/>
    <xf numFmtId="0" fontId="0" fillId="0" borderId="0" xfId="0" applyFill="1"/>
    <xf numFmtId="0" fontId="0" fillId="3" borderId="3" xfId="0" applyFill="1" applyBorder="1"/>
    <xf numFmtId="44" fontId="0" fillId="3" borderId="3" xfId="1" applyFont="1" applyFill="1" applyBorder="1"/>
    <xf numFmtId="0" fontId="4" fillId="0" borderId="0" xfId="0" applyFont="1" applyBorder="1" applyAlignment="1">
      <alignment horizontal="left" wrapText="1" indent="1"/>
    </xf>
    <xf numFmtId="0" fontId="0" fillId="3" borderId="0" xfId="0" applyFill="1" applyBorder="1"/>
    <xf numFmtId="44" fontId="0" fillId="3" borderId="0" xfId="1" applyFont="1" applyFill="1" applyBorder="1"/>
    <xf numFmtId="0" fontId="0" fillId="2" borderId="4" xfId="0" applyFill="1" applyBorder="1" applyProtection="1">
      <protection locked="0"/>
    </xf>
    <xf numFmtId="0" fontId="0" fillId="0" borderId="3" xfId="0" applyFill="1" applyBorder="1"/>
    <xf numFmtId="44" fontId="0" fillId="0" borderId="3" xfId="1" applyFont="1" applyFill="1" applyBorder="1"/>
    <xf numFmtId="44" fontId="0" fillId="3" borderId="3" xfId="1" applyFont="1" applyFill="1" applyBorder="1" applyProtection="1">
      <protection locked="0"/>
    </xf>
    <xf numFmtId="0" fontId="0" fillId="0" borderId="0" xfId="0" applyFont="1"/>
    <xf numFmtId="0" fontId="0" fillId="0" borderId="0" xfId="0" applyBorder="1"/>
    <xf numFmtId="44" fontId="0" fillId="0" borderId="0" xfId="1" applyFont="1" applyBorder="1"/>
    <xf numFmtId="0" fontId="0" fillId="0" borderId="0" xfId="0" applyFill="1" applyBorder="1" applyAlignment="1">
      <alignment horizontal="left"/>
    </xf>
    <xf numFmtId="0" fontId="0" fillId="0" borderId="0" xfId="0" applyFill="1" applyBorder="1"/>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Protection="1"/>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2" borderId="5" xfId="0" applyFill="1" applyBorder="1" applyProtection="1">
      <protection locked="0"/>
    </xf>
    <xf numFmtId="0" fontId="11" fillId="0" borderId="0" xfId="0" applyFont="1" applyBorder="1" applyAlignment="1">
      <alignment horizontal="left" vertical="center" wrapText="1" indent="1"/>
    </xf>
    <xf numFmtId="0" fontId="0" fillId="0" borderId="0" xfId="0" applyAlignment="1">
      <alignment horizontal="left"/>
    </xf>
    <xf numFmtId="0" fontId="5" fillId="0" borderId="0" xfId="0" applyFont="1" applyAlignment="1">
      <alignment horizontal="right" vertical="top"/>
    </xf>
    <xf numFmtId="0" fontId="5" fillId="0" borderId="0" xfId="0" applyFont="1" applyAlignment="1">
      <alignment horizontal="right"/>
    </xf>
    <xf numFmtId="0" fontId="0" fillId="0" borderId="0" xfId="0" applyAlignment="1"/>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5" fillId="0" borderId="0" xfId="0" applyFont="1" applyBorder="1" applyAlignment="1">
      <alignment horizontal="left" vertical="top" indent="1"/>
    </xf>
    <xf numFmtId="0" fontId="0" fillId="0" borderId="0" xfId="0" applyAlignment="1">
      <alignment horizontal="left"/>
    </xf>
    <xf numFmtId="0" fontId="11" fillId="0" borderId="0" xfId="0" applyFont="1" applyBorder="1" applyAlignment="1">
      <alignment horizontal="left" vertical="center" wrapText="1"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0" fontId="15" fillId="0" borderId="0" xfId="0" applyFont="1" applyBorder="1" applyAlignment="1">
      <alignment horizontal="left" indent="1"/>
    </xf>
    <xf numFmtId="44" fontId="0" fillId="3" borderId="3" xfId="1" applyFont="1" applyFill="1" applyBorder="1" applyProtection="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Border="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13" fillId="0" borderId="9" xfId="2" applyFill="1" applyBorder="1" applyAlignment="1">
      <alignment horizontal="left"/>
    </xf>
    <xf numFmtId="0" fontId="5" fillId="0" borderId="0" xfId="0" applyFont="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62150" cy="45456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62150" cy="45456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104760</xdr:rowOff>
    </xdr:from>
    <xdr:ext cx="1932477" cy="447690"/>
    <xdr:pic>
      <xdr:nvPicPr>
        <xdr:cNvPr id="3" name="Picture 2">
          <a:extLst>
            <a:ext uri="{FF2B5EF4-FFF2-40B4-BE49-F238E27FC236}">
              <a16:creationId xmlns:a16="http://schemas.microsoft.com/office/drawing/2014/main" id="{E8CC7211-B590-7D48-86CD-1F6219B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6"/>
    </row>
    <row r="2" spans="1:4" ht="47.25" customHeight="1" x14ac:dyDescent="0.35">
      <c r="B2" s="71" t="s">
        <v>62</v>
      </c>
      <c r="C2" s="72"/>
      <c r="D2" s="72"/>
    </row>
    <row r="3" spans="1:4" ht="8.25" customHeight="1" x14ac:dyDescent="0.25">
      <c r="B3" s="19"/>
      <c r="C3" s="21"/>
      <c r="D3" s="21"/>
    </row>
    <row r="4" spans="1:4" ht="66.75" customHeight="1" x14ac:dyDescent="0.25">
      <c r="B4" s="73" t="s">
        <v>63</v>
      </c>
      <c r="C4" s="73"/>
      <c r="D4" s="73"/>
    </row>
    <row r="5" spans="1:4" ht="21.75" customHeight="1" x14ac:dyDescent="0.25">
      <c r="C5"/>
    </row>
    <row r="6" spans="1:4" ht="27" customHeight="1" x14ac:dyDescent="0.25">
      <c r="B6" s="44" t="s">
        <v>53</v>
      </c>
      <c r="C6"/>
    </row>
    <row r="7" spans="1:4" x14ac:dyDescent="0.25">
      <c r="B7" s="45" t="s">
        <v>56</v>
      </c>
    </row>
    <row r="8" spans="1:4" x14ac:dyDescent="0.25">
      <c r="B8" s="45" t="s">
        <v>55</v>
      </c>
    </row>
    <row r="9" spans="1:4" x14ac:dyDescent="0.25">
      <c r="B9" s="45" t="s">
        <v>54</v>
      </c>
    </row>
    <row r="10" spans="1:4" x14ac:dyDescent="0.25">
      <c r="B10" s="45" t="s">
        <v>57</v>
      </c>
    </row>
    <row r="11" spans="1:4" x14ac:dyDescent="0.25">
      <c r="B11" s="47"/>
    </row>
    <row r="12" spans="1:4" x14ac:dyDescent="0.25">
      <c r="B12" s="47"/>
    </row>
    <row r="13" spans="1:4" x14ac:dyDescent="0.25">
      <c r="B13" s="47"/>
    </row>
    <row r="16" spans="1:4" x14ac:dyDescent="0.25">
      <c r="B16" s="70" t="s">
        <v>14</v>
      </c>
      <c r="C16" s="70"/>
      <c r="D16" s="70"/>
    </row>
  </sheetData>
  <sheetProtection algorithmName="SHA-512" hashValue="qr3bahhrRwq7bMrawNM+a7ptnsD6n7u8pp5jNYUSp6yNTekLBGfqCgGlmRIxwWkdBa3E6q1E260QhttHPnxgKg==" saltValue="rNdzXnfJ5/r8iUkNuTtpEw==" spinCount="100000" sheet="1" objects="1" scenarios="1" selectLockedCells="1"/>
  <mergeCells count="3">
    <mergeCell ref="B16:D16"/>
    <mergeCell ref="B2:D2"/>
    <mergeCell ref="B4:D4"/>
  </mergeCells>
  <hyperlinks>
    <hyperlink ref="B8" location="'Data Sci'!A1" display="Data Science - On-Campus Program" xr:uid="{00000000-0004-0000-0000-000000000000}"/>
    <hyperlink ref="B9" location="'Data Sci - Online'!A1" display="Data Science - Online Program"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70</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61"/>
      <c r="C4" s="68"/>
      <c r="D4" s="61"/>
      <c r="E4" s="61"/>
      <c r="F4" s="61"/>
      <c r="G4" s="61"/>
      <c r="H4" s="61"/>
      <c r="I4" s="61"/>
      <c r="J4" s="61"/>
      <c r="K4" s="61"/>
      <c r="L4" s="61"/>
      <c r="M4" s="61"/>
      <c r="N4" s="61"/>
      <c r="O4" s="61"/>
    </row>
    <row r="5" spans="2:15" ht="19.5" customHeight="1" x14ac:dyDescent="0.3">
      <c r="D5" s="6" t="s">
        <v>50</v>
      </c>
      <c r="G5" s="79"/>
      <c r="H5" s="80"/>
      <c r="J5" s="49"/>
      <c r="L5" s="49"/>
      <c r="N5" s="49"/>
    </row>
    <row r="6" spans="2:15" ht="19.5" customHeight="1" x14ac:dyDescent="0.25">
      <c r="J6" s="49"/>
      <c r="L6" s="49"/>
      <c r="N6" s="49"/>
    </row>
    <row r="7" spans="2:15" ht="19.5" customHeight="1" x14ac:dyDescent="0.25">
      <c r="J7" s="49" t="s">
        <v>68</v>
      </c>
      <c r="L7" s="49" t="s">
        <v>64</v>
      </c>
      <c r="N7" s="49" t="s">
        <v>65</v>
      </c>
    </row>
    <row r="8" spans="2:15" ht="18" customHeight="1" x14ac:dyDescent="0.3">
      <c r="D8" s="6" t="s">
        <v>15</v>
      </c>
      <c r="E8" s="28"/>
      <c r="F8" s="28"/>
      <c r="G8" s="28"/>
      <c r="H8" s="28"/>
      <c r="I8" s="28"/>
      <c r="J8" s="48"/>
      <c r="L8" s="48"/>
      <c r="M8" s="22"/>
      <c r="N8" s="48"/>
      <c r="O8" s="28"/>
    </row>
    <row r="9" spans="2:15" ht="6" customHeight="1" x14ac:dyDescent="0.25"/>
    <row r="10" spans="2:15" ht="15.75" thickBot="1" x14ac:dyDescent="0.3">
      <c r="B10" s="1" t="s">
        <v>7</v>
      </c>
      <c r="C10" s="1"/>
      <c r="D10" s="2"/>
      <c r="E10" s="2"/>
      <c r="F10" s="2"/>
      <c r="G10" s="2"/>
      <c r="H10" s="4" t="s">
        <v>3</v>
      </c>
      <c r="I10" s="3"/>
      <c r="J10" s="4" t="s">
        <v>69</v>
      </c>
      <c r="K10" s="3"/>
      <c r="L10" s="4" t="s">
        <v>66</v>
      </c>
      <c r="M10" s="4"/>
      <c r="N10" s="4" t="s">
        <v>67</v>
      </c>
      <c r="O10" s="2"/>
    </row>
    <row r="11" spans="2:15" ht="9" customHeight="1" x14ac:dyDescent="0.25"/>
    <row r="12" spans="2:15" ht="21.75" customHeight="1" x14ac:dyDescent="0.25">
      <c r="B12" s="9" t="s">
        <v>1</v>
      </c>
      <c r="C12" s="9"/>
      <c r="D12" s="81"/>
      <c r="E12" s="81"/>
      <c r="F12" s="10"/>
      <c r="G12" s="10"/>
      <c r="H12" s="11" t="e">
        <f>J12+L12+N12</f>
        <v>#N/A</v>
      </c>
      <c r="I12" s="10"/>
      <c r="J12" s="11" t="e">
        <f>IF(G5="2020 Fall Quarter or Later",(VLOOKUP(J8,Data!F24:G43,2,FALSE)),(VLOOKUP(J8,Data!A2:B21,2,FALSE)))</f>
        <v>#N/A</v>
      </c>
      <c r="K12" s="10"/>
      <c r="L12" s="11" t="e">
        <f>IF(G5="2020 Fall Quarter or Later",(VLOOKUP(L8,Data!F24:G43,2,FALSE)),(VLOOKUP(L8,Data!A2:B21,2,FALSE)))</f>
        <v>#N/A</v>
      </c>
      <c r="M12" s="11"/>
      <c r="N12" s="11" t="e">
        <f>IF(G5="2020 Fall Quarter or Later",(VLOOKUP(N8,Data!F24:G43,2,FALSE)),(VLOOKUP(N8,Data!A2:B21,2,FALSE)))</f>
        <v>#N/A</v>
      </c>
      <c r="O12" s="10"/>
    </row>
    <row r="13" spans="2:15" ht="21.75" customHeight="1" x14ac:dyDescent="0.25">
      <c r="B13" s="60" t="s">
        <v>0</v>
      </c>
      <c r="C13" s="60"/>
    </row>
    <row r="14" spans="2:15" ht="21.75" customHeight="1" x14ac:dyDescent="0.25">
      <c r="B14" s="12" t="s">
        <v>2</v>
      </c>
      <c r="C14" s="12"/>
      <c r="D14" s="10"/>
      <c r="E14" s="10"/>
      <c r="F14" s="10"/>
      <c r="G14" s="10"/>
      <c r="H14" s="11" t="e">
        <f>J14+L14+N14</f>
        <v>#N/A</v>
      </c>
      <c r="I14" s="10"/>
      <c r="J14" s="11" t="e">
        <f>IF(G5="2020 Fall Quarter or Later",(VLOOKUP(J8,Data!F24:H43,3,FALSE)),(VLOOKUP(J8,Data!A2:C21,3,FALSE)))</f>
        <v>#N/A</v>
      </c>
      <c r="K14" s="10"/>
      <c r="L14" s="11" t="e">
        <f>IF(G5="2020 Fall Quarter or Later",(VLOOKUP(L8,Data!F24:H43,3,FALSE)),(VLOOKUP(L8,Data!A2:C21,3,FALSE)))</f>
        <v>#N/A</v>
      </c>
      <c r="M14" s="11"/>
      <c r="N14" s="11" t="e">
        <f>IF(G5="2020 Fall Quarter or Later",(VLOOKUP(N8,Data!F24:H43,3,FALSE)),(VLOOKUP(N8,Data!A2:C21,3,FALSE)))</f>
        <v>#N/A</v>
      </c>
      <c r="O14" s="10"/>
    </row>
    <row r="15" spans="2:15" ht="21.75" customHeight="1" x14ac:dyDescent="0.25">
      <c r="B15" s="41" t="s">
        <v>17</v>
      </c>
      <c r="C15" s="41"/>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82" t="s">
        <v>48</v>
      </c>
      <c r="C16" s="82"/>
      <c r="D16" s="82"/>
      <c r="E16" s="83"/>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84" t="s">
        <v>47</v>
      </c>
      <c r="C17" s="84"/>
      <c r="D17" s="84"/>
      <c r="E17" s="85"/>
      <c r="F17" s="50"/>
      <c r="G17" s="32"/>
      <c r="H17" s="33">
        <f>J17+L17+N17</f>
        <v>0</v>
      </c>
      <c r="I17" s="32"/>
      <c r="J17" s="33">
        <f>IF(AND(F17="Yes", J8&lt;&gt;"not enrolled",J8&lt;&gt;"4 credits",J8&lt;&gt;"5 credits"), (VLOOKUP(F17,Data!A24:C25,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11</v>
      </c>
      <c r="C20" s="1"/>
      <c r="D20" s="2"/>
      <c r="E20" s="2"/>
      <c r="F20" s="2"/>
      <c r="G20" s="2"/>
      <c r="H20" s="4" t="s">
        <v>3</v>
      </c>
      <c r="I20" s="3"/>
      <c r="J20" s="4" t="s">
        <v>69</v>
      </c>
      <c r="K20" s="3"/>
      <c r="L20" s="4" t="s">
        <v>66</v>
      </c>
      <c r="M20" s="4"/>
      <c r="N20" s="4" t="s">
        <v>67</v>
      </c>
      <c r="O20" s="2"/>
    </row>
    <row r="21" spans="2:15" ht="21.75" customHeight="1" x14ac:dyDescent="0.25">
      <c r="B21" t="s">
        <v>16</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19</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20</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74" t="s">
        <v>23</v>
      </c>
      <c r="C25" s="74"/>
      <c r="D25" s="74"/>
      <c r="E25" s="74"/>
      <c r="F25" s="74"/>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75" t="s">
        <v>24</v>
      </c>
      <c r="C26" s="75"/>
      <c r="D26" s="75"/>
      <c r="E26" s="75"/>
      <c r="F26" s="75"/>
      <c r="G26" s="75"/>
      <c r="H26" s="27">
        <f>J26+L26+N26</f>
        <v>0</v>
      </c>
      <c r="I26" s="26"/>
      <c r="J26" s="18"/>
      <c r="K26" s="26"/>
      <c r="L26" s="18"/>
      <c r="M26" s="34"/>
      <c r="N26" s="58"/>
      <c r="O26" s="26"/>
    </row>
    <row r="27" spans="2:15" ht="21.75" customHeight="1" x14ac:dyDescent="0.25">
      <c r="D27" s="7" t="s">
        <v>10</v>
      </c>
      <c r="H27" s="5">
        <f>SUM(H21:H26)</f>
        <v>0</v>
      </c>
      <c r="J27" s="5">
        <f>SUM(J21:J26)</f>
        <v>0</v>
      </c>
      <c r="L27" s="5">
        <f>SUM(L21:L25,L26)</f>
        <v>0</v>
      </c>
      <c r="N27" s="5">
        <f>SUM(N21:N25,N26)</f>
        <v>0</v>
      </c>
    </row>
    <row r="28" spans="2:15" ht="15.75" thickBot="1" x14ac:dyDescent="0.3"/>
    <row r="29" spans="2:15" ht="21.75" customHeight="1" thickTop="1" thickBot="1" x14ac:dyDescent="0.35">
      <c r="B29" s="14" t="s">
        <v>12</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13</v>
      </c>
      <c r="C31" s="7"/>
    </row>
    <row r="32" spans="2:15" ht="21.75" customHeight="1" x14ac:dyDescent="0.25">
      <c r="B32" s="57">
        <v>1</v>
      </c>
      <c r="C32" s="55" t="str">
        <f>IF(G5="2020 Fall Quarter or Later",Data!A47,Data!A50)</f>
        <v>Tuition for the 2023-2024 academic year is $1,612 per credit. If enrolled in 12-18 credits, tuition will be charged a flat rate of $19,344.</v>
      </c>
      <c r="D32" s="56"/>
      <c r="E32" s="56"/>
      <c r="F32" s="56"/>
      <c r="G32" s="56"/>
      <c r="H32" s="56"/>
      <c r="I32" s="56"/>
      <c r="J32" s="56"/>
      <c r="K32" s="56"/>
      <c r="L32" s="56"/>
      <c r="M32" s="56"/>
      <c r="N32" s="56"/>
      <c r="O32" s="56"/>
    </row>
    <row r="33" spans="2:15" ht="18" customHeight="1" x14ac:dyDescent="0.25">
      <c r="B33" s="54">
        <v>2</v>
      </c>
      <c r="C33" s="55" t="s">
        <v>49</v>
      </c>
      <c r="D33" s="55"/>
      <c r="E33" s="55"/>
      <c r="F33" s="55"/>
      <c r="G33" s="55"/>
      <c r="H33" s="55"/>
      <c r="I33" s="55"/>
      <c r="J33" s="55"/>
      <c r="K33" s="55"/>
      <c r="L33" s="55"/>
      <c r="M33" s="55"/>
      <c r="N33" s="55"/>
      <c r="O33" s="55"/>
    </row>
    <row r="34" spans="2:15" ht="18" customHeight="1" x14ac:dyDescent="0.25">
      <c r="B34" s="54">
        <v>3</v>
      </c>
      <c r="C34" t="s">
        <v>58</v>
      </c>
    </row>
    <row r="35" spans="2:15" ht="46.5" customHeight="1" x14ac:dyDescent="0.25">
      <c r="B35" s="53">
        <v>4</v>
      </c>
      <c r="C35" s="76" t="s">
        <v>59</v>
      </c>
      <c r="D35" s="76"/>
      <c r="E35" s="76"/>
      <c r="F35" s="76"/>
      <c r="G35" s="76"/>
      <c r="H35" s="76"/>
      <c r="I35" s="76"/>
      <c r="J35" s="76"/>
      <c r="K35" s="76"/>
      <c r="L35" s="76"/>
      <c r="M35" s="76"/>
      <c r="N35" s="76"/>
      <c r="O35" s="76"/>
    </row>
    <row r="36" spans="2:15" ht="21.75" customHeight="1" x14ac:dyDescent="0.25"/>
    <row r="38" spans="2:15" x14ac:dyDescent="0.25">
      <c r="B38" s="70" t="s">
        <v>14</v>
      </c>
      <c r="C38" s="70"/>
      <c r="D38" s="70"/>
      <c r="E38" s="70"/>
      <c r="F38" s="70"/>
      <c r="G38" s="70"/>
      <c r="H38" s="70"/>
      <c r="I38" s="70"/>
      <c r="J38" s="70"/>
      <c r="K38" s="70"/>
      <c r="L38" s="70"/>
      <c r="M38" s="70"/>
      <c r="N38" s="70"/>
      <c r="O38" s="70"/>
    </row>
  </sheetData>
  <sheetProtection algorithmName="SHA-512" hashValue="WhPmreG6Gda/AOEk16e9TbGQC6vocEYuJG1dZSFqaWyjtP+F40SMId4GC/8b9sHN/w4tQs8nXFVBbdJAC4j8dg==" saltValue="KP/y/e+OmoMZfunNwh2nGA==" spinCount="100000" sheet="1" objects="1" scenarios="1" selectLockedCells="1"/>
  <mergeCells count="9">
    <mergeCell ref="B25:F25"/>
    <mergeCell ref="B26:G26"/>
    <mergeCell ref="C35:O35"/>
    <mergeCell ref="B38:O38"/>
    <mergeCell ref="H2:O2"/>
    <mergeCell ref="G5:H5"/>
    <mergeCell ref="D12:E12"/>
    <mergeCell ref="B16:E16"/>
    <mergeCell ref="B17:E17"/>
  </mergeCells>
  <hyperlinks>
    <hyperlink ref="B16" r:id="rId1" display="Will you enroll in DU's health insurance plan?" xr:uid="{00000000-0004-0000-0100-000000000000}"/>
    <hyperlink ref="B17"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Data!$A$27:$A$28</xm:f>
          </x14:formula1>
          <xm:sqref>G5:H5</xm:sqref>
        </x14:dataValidation>
        <x14:dataValidation type="list" allowBlank="1" showInputMessage="1" showErrorMessage="1" xr:uid="{00000000-0002-0000-0100-000001000000}">
          <x14:formula1>
            <xm:f>Data!$A$24:$A$25</xm:f>
          </x14:formula1>
          <xm:sqref>F16:F17</xm:sqref>
        </x14:dataValidation>
        <x14:dataValidation type="list" allowBlank="1" showInputMessage="1" showErrorMessage="1" xr:uid="{00000000-0002-0000-0100-000002000000}">
          <x14:formula1>
            <xm:f>Data!$A$2:$A$21</xm:f>
          </x14:formula1>
          <xm:sqref>L8 J8 N8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6"/>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71</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51"/>
      <c r="C4" s="59"/>
      <c r="D4" s="51"/>
      <c r="E4" s="51"/>
      <c r="F4" s="51"/>
      <c r="G4" s="51"/>
      <c r="H4" s="51"/>
      <c r="I4" s="51"/>
      <c r="J4" s="51"/>
      <c r="K4" s="51"/>
      <c r="L4" s="51"/>
      <c r="M4" s="51"/>
      <c r="N4" s="51"/>
      <c r="O4" s="51"/>
    </row>
    <row r="5" spans="2:15" ht="19.5" customHeight="1" x14ac:dyDescent="0.25">
      <c r="J5" s="49" t="s">
        <v>68</v>
      </c>
      <c r="L5" s="49" t="s">
        <v>64</v>
      </c>
      <c r="N5" s="49" t="s">
        <v>65</v>
      </c>
    </row>
    <row r="6" spans="2:15" ht="18" customHeight="1" x14ac:dyDescent="0.3">
      <c r="D6" s="6" t="s">
        <v>15</v>
      </c>
      <c r="E6" s="28"/>
      <c r="F6" s="28"/>
      <c r="G6" s="28"/>
      <c r="H6" s="28"/>
      <c r="I6" s="28"/>
      <c r="J6" s="48"/>
      <c r="L6" s="48"/>
      <c r="M6" s="22"/>
      <c r="N6" s="48"/>
      <c r="O6" s="28"/>
    </row>
    <row r="7" spans="2:15" ht="6" customHeight="1" x14ac:dyDescent="0.25"/>
    <row r="8" spans="2:15" ht="15.75" thickBot="1" x14ac:dyDescent="0.3">
      <c r="B8" s="1" t="s">
        <v>7</v>
      </c>
      <c r="C8" s="1"/>
      <c r="D8" s="2"/>
      <c r="E8" s="2"/>
      <c r="F8" s="2"/>
      <c r="G8" s="2"/>
      <c r="H8" s="4" t="s">
        <v>3</v>
      </c>
      <c r="I8" s="3"/>
      <c r="J8" s="4" t="s">
        <v>69</v>
      </c>
      <c r="K8" s="3"/>
      <c r="L8" s="4" t="s">
        <v>66</v>
      </c>
      <c r="M8" s="4"/>
      <c r="N8" s="4" t="s">
        <v>67</v>
      </c>
      <c r="O8" s="2"/>
    </row>
    <row r="9" spans="2:15" ht="9" customHeight="1" x14ac:dyDescent="0.25"/>
    <row r="10" spans="2:15" ht="21.75" customHeight="1" x14ac:dyDescent="0.25">
      <c r="B10" s="9" t="s">
        <v>1</v>
      </c>
      <c r="C10" s="9"/>
      <c r="D10" s="81"/>
      <c r="E10" s="81"/>
      <c r="F10" s="10"/>
      <c r="G10" s="10"/>
      <c r="H10" s="11" t="e">
        <f>J10+L10+N10</f>
        <v>#N/A</v>
      </c>
      <c r="I10" s="10"/>
      <c r="J10" s="11" t="e">
        <f>VLOOKUP(J6,Data!F2:G21,2,FALSE)</f>
        <v>#N/A</v>
      </c>
      <c r="K10" s="10"/>
      <c r="L10" s="11" t="e">
        <f>VLOOKUP(L6,Data!F2:G21,2,FALSE)</f>
        <v>#N/A</v>
      </c>
      <c r="M10" s="11"/>
      <c r="N10" s="11" t="e">
        <f>VLOOKUP(N6,Data!F2:G21,2,FALSE)</f>
        <v>#N/A</v>
      </c>
      <c r="O10" s="10"/>
    </row>
    <row r="11" spans="2:15" ht="21.75" customHeight="1" x14ac:dyDescent="0.25">
      <c r="B11" s="52" t="s">
        <v>0</v>
      </c>
      <c r="C11" s="52"/>
    </row>
    <row r="12" spans="2:15" ht="21.75" customHeight="1" x14ac:dyDescent="0.25">
      <c r="B12" s="12" t="s">
        <v>2</v>
      </c>
      <c r="C12" s="12"/>
      <c r="D12" s="10"/>
      <c r="E12" s="10"/>
      <c r="F12" s="10"/>
      <c r="G12" s="10"/>
      <c r="H12" s="11" t="e">
        <f>J12+L12+N12</f>
        <v>#N/A</v>
      </c>
      <c r="I12" s="10"/>
      <c r="J12" s="11" t="e">
        <f>VLOOKUP(J6,Data!F2:H21,3,FALSE)</f>
        <v>#N/A</v>
      </c>
      <c r="K12" s="10"/>
      <c r="L12" s="11" t="e">
        <f>VLOOKUP(L6,Data!F2:H21,3,FALSE)</f>
        <v>#N/A</v>
      </c>
      <c r="M12" s="11"/>
      <c r="N12" s="11" t="e">
        <f>VLOOKUP(N6,Data!F2:H21,3,FALSE)</f>
        <v>#N/A</v>
      </c>
      <c r="O12" s="10"/>
    </row>
    <row r="13" spans="2:15" ht="21.75" customHeight="1" x14ac:dyDescent="0.25">
      <c r="B13" s="41" t="s">
        <v>17</v>
      </c>
      <c r="C13" s="41"/>
      <c r="H13" s="5" t="e">
        <f>J13+L13+N13</f>
        <v>#N/A</v>
      </c>
      <c r="J13" s="5" t="e">
        <f>IF(J6&lt;&gt;"not enrolled",(VLOOKUP(J6,Data!A2:D21,4,FALSE)),0)</f>
        <v>#N/A</v>
      </c>
      <c r="L13" s="5" t="e">
        <f>IF(L6&lt;&gt;"not enrolled",(VLOOKUP(L6,Data!A2:D21,4,FALSE)),0)</f>
        <v>#N/A</v>
      </c>
      <c r="N13" s="5" t="e">
        <f>IF(N6&lt;&gt;"not enrolled",(VLOOKUP(N6,Data!A2:D21,4,FALSE)),0)</f>
        <v>#N/A</v>
      </c>
    </row>
    <row r="14" spans="2:15" ht="21.75" customHeight="1" x14ac:dyDescent="0.25">
      <c r="B14" s="82" t="s">
        <v>48</v>
      </c>
      <c r="C14" s="82"/>
      <c r="D14" s="82"/>
      <c r="E14" s="83"/>
      <c r="F14" s="31"/>
      <c r="G14" s="29"/>
      <c r="H14" s="30">
        <f>J14+L14+N14</f>
        <v>0</v>
      </c>
      <c r="I14" s="29"/>
      <c r="J14" s="30">
        <f>IF(AND(F14="Yes", J6&lt;&gt;"not enrolled"), (VLOOKUP(F14, Data!A24:C25, 2, FALSE)), 0)</f>
        <v>0</v>
      </c>
      <c r="K14" s="29"/>
      <c r="L14" s="30">
        <v>0</v>
      </c>
      <c r="M14" s="30"/>
      <c r="N14" s="30">
        <f>IF(AND(F14="Yes", N6&lt;&gt;"not enrolled"), (VLOOKUP(F14, Data!A24:C25, 2, FALSE)), 0)</f>
        <v>0</v>
      </c>
      <c r="O14" s="29"/>
    </row>
    <row r="15" spans="2:15" s="25" customFormat="1" ht="21.75" customHeight="1" x14ac:dyDescent="0.25">
      <c r="B15" s="84" t="s">
        <v>47</v>
      </c>
      <c r="C15" s="84"/>
      <c r="D15" s="84"/>
      <c r="E15" s="85"/>
      <c r="F15" s="50"/>
      <c r="G15" s="32"/>
      <c r="H15" s="33">
        <f>J15+L15+N15</f>
        <v>0</v>
      </c>
      <c r="I15" s="32"/>
      <c r="J15" s="33">
        <f>IF(AND(F15="Yes", J6&lt;&gt;"not enrolled",J6&lt;&gt;"4 credits",J6&lt;&gt;"5 credits"), (VLOOKUP(F15,Data!A24:C25, 3, FALSE)), 0)</f>
        <v>0</v>
      </c>
      <c r="K15" s="32"/>
      <c r="L15" s="33">
        <f>IF(AND(F15="Yes", L6&lt;&gt;"not enrolled",L6&lt;&gt;"4 credits",L6&lt;&gt;"5 credits"), (VLOOKUP(F15, Data!A24:C25, 3, FALSE)), 0)</f>
        <v>0</v>
      </c>
      <c r="M15" s="33"/>
      <c r="N15" s="33">
        <f>IF(AND(F15="Yes", N6&lt;&gt;"not enrolled",N6&lt;&gt;"4 credits",N6&lt;&gt;"5 credits"), (VLOOKUP(F15, Data!A24:C25, 3, FALSE)), 0)</f>
        <v>0</v>
      </c>
      <c r="O15" s="32"/>
    </row>
    <row r="16" spans="2:15" ht="21.75" customHeight="1" x14ac:dyDescent="0.25">
      <c r="D16" s="7" t="s">
        <v>6</v>
      </c>
      <c r="H16" s="8" t="e">
        <f>SUM(H10, H12:H15)</f>
        <v>#N/A</v>
      </c>
      <c r="J16" s="8" t="e">
        <f>SUM(J10,J12:J15)</f>
        <v>#N/A</v>
      </c>
      <c r="L16" s="8" t="e">
        <f>SUM(L10,L12:L15)</f>
        <v>#N/A</v>
      </c>
      <c r="M16" s="8"/>
      <c r="N16" s="8" t="e">
        <f>SUM(N10,N12:N15)</f>
        <v>#N/A</v>
      </c>
    </row>
    <row r="17" spans="2:15" ht="24" customHeight="1" x14ac:dyDescent="0.25"/>
    <row r="18" spans="2:15" ht="15.75" thickBot="1" x14ac:dyDescent="0.3">
      <c r="B18" s="1" t="s">
        <v>11</v>
      </c>
      <c r="C18" s="1"/>
      <c r="D18" s="2"/>
      <c r="E18" s="2"/>
      <c r="F18" s="2"/>
      <c r="G18" s="2"/>
      <c r="H18" s="4" t="s">
        <v>3</v>
      </c>
      <c r="I18" s="3"/>
      <c r="J18" s="4" t="s">
        <v>69</v>
      </c>
      <c r="K18" s="3"/>
      <c r="L18" s="4" t="s">
        <v>66</v>
      </c>
      <c r="M18" s="4"/>
      <c r="N18" s="4" t="s">
        <v>67</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19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20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74" t="s">
        <v>23</v>
      </c>
      <c r="C23" s="74"/>
      <c r="D23" s="74"/>
      <c r="E23" s="74"/>
      <c r="F23" s="74"/>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5" t="s">
        <v>24</v>
      </c>
      <c r="C24" s="75"/>
      <c r="D24" s="75"/>
      <c r="E24" s="75"/>
      <c r="F24" s="75"/>
      <c r="G24" s="75"/>
      <c r="H24" s="27">
        <f>J24+L24+N24</f>
        <v>0</v>
      </c>
      <c r="I24" s="26"/>
      <c r="J24" s="18"/>
      <c r="K24" s="26"/>
      <c r="L24" s="18"/>
      <c r="M24" s="34"/>
      <c r="N24" s="58"/>
      <c r="O24" s="26"/>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t="e">
        <f>H16-H25</f>
        <v>#N/A</v>
      </c>
      <c r="I27" s="24"/>
      <c r="J27" s="23" t="e">
        <f>J16-J25</f>
        <v>#N/A</v>
      </c>
      <c r="K27" s="24"/>
      <c r="L27" s="23" t="e">
        <f>L16-L25</f>
        <v>#N/A</v>
      </c>
      <c r="M27" s="23"/>
      <c r="N27" s="23" t="e">
        <f>N16-N25</f>
        <v>#N/A</v>
      </c>
      <c r="O27" s="13"/>
    </row>
    <row r="28" spans="2:15" ht="15.75" thickTop="1" x14ac:dyDescent="0.25"/>
    <row r="29" spans="2:15" x14ac:dyDescent="0.25">
      <c r="B29" s="7" t="s">
        <v>13</v>
      </c>
      <c r="C29" s="7"/>
    </row>
    <row r="30" spans="2:15" ht="21.75" customHeight="1" x14ac:dyDescent="0.25">
      <c r="B30" s="57">
        <v>1</v>
      </c>
      <c r="C30" s="55" t="s">
        <v>78</v>
      </c>
      <c r="D30" s="56"/>
      <c r="E30" s="56"/>
      <c r="F30" s="56"/>
      <c r="G30" s="56"/>
      <c r="H30" s="56"/>
      <c r="I30" s="56"/>
      <c r="J30" s="56"/>
      <c r="K30" s="56"/>
      <c r="L30" s="56"/>
      <c r="M30" s="56"/>
      <c r="N30" s="56"/>
      <c r="O30" s="56"/>
    </row>
    <row r="31" spans="2:15" ht="18" customHeight="1" x14ac:dyDescent="0.25">
      <c r="B31" s="54">
        <v>2</v>
      </c>
      <c r="C31" s="55" t="s">
        <v>49</v>
      </c>
      <c r="D31" s="55"/>
      <c r="E31" s="55"/>
      <c r="F31" s="55"/>
      <c r="G31" s="55"/>
      <c r="H31" s="55"/>
      <c r="I31" s="55"/>
      <c r="J31" s="55"/>
      <c r="K31" s="55"/>
      <c r="L31" s="55"/>
      <c r="M31" s="55"/>
      <c r="N31" s="55"/>
      <c r="O31" s="55"/>
    </row>
    <row r="32" spans="2:15" ht="18" customHeight="1" x14ac:dyDescent="0.25">
      <c r="B32" s="54">
        <v>3</v>
      </c>
      <c r="C32" t="s">
        <v>58</v>
      </c>
    </row>
    <row r="33" spans="2:15" ht="46.5" customHeight="1" x14ac:dyDescent="0.25">
      <c r="B33" s="53">
        <v>4</v>
      </c>
      <c r="C33" s="76" t="s">
        <v>59</v>
      </c>
      <c r="D33" s="76"/>
      <c r="E33" s="76"/>
      <c r="F33" s="76"/>
      <c r="G33" s="76"/>
      <c r="H33" s="76"/>
      <c r="I33" s="76"/>
      <c r="J33" s="76"/>
      <c r="K33" s="76"/>
      <c r="L33" s="76"/>
      <c r="M33" s="76"/>
      <c r="N33" s="76"/>
      <c r="O33" s="76"/>
    </row>
    <row r="34" spans="2:15" ht="21.75" customHeight="1" x14ac:dyDescent="0.25"/>
    <row r="36" spans="2:15" x14ac:dyDescent="0.25">
      <c r="B36" s="70" t="s">
        <v>14</v>
      </c>
      <c r="C36" s="70"/>
      <c r="D36" s="70"/>
      <c r="E36" s="70"/>
      <c r="F36" s="70"/>
      <c r="G36" s="70"/>
      <c r="H36" s="70"/>
      <c r="I36" s="70"/>
      <c r="J36" s="70"/>
      <c r="K36" s="70"/>
      <c r="L36" s="70"/>
      <c r="M36" s="70"/>
      <c r="N36" s="70"/>
      <c r="O36" s="70"/>
    </row>
  </sheetData>
  <sheetProtection algorithmName="SHA-512" hashValue="SY5HYKdsWmngtXmItjU7TU57b+s/0k+Sh8C18SU+T8C+bHd8jzbDcrYqjk/RkrNR2KTfz6I7lSYV2BYxIiNK5Q==" saltValue="sVk4xpTOVfvAAj/QdHb7mQ==" spinCount="100000" sheet="1" objects="1" scenarios="1" selectLockedCells="1"/>
  <mergeCells count="8">
    <mergeCell ref="H2:O2"/>
    <mergeCell ref="D10:E10"/>
    <mergeCell ref="B36:O36"/>
    <mergeCell ref="B14:E14"/>
    <mergeCell ref="B15:E15"/>
    <mergeCell ref="B23:F23"/>
    <mergeCell ref="B24:G24"/>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Data!$A$2:$A$21</xm:f>
          </x14:formula1>
          <xm:sqref>J6 N6 L6</xm:sqref>
        </x14:dataValidation>
        <x14:dataValidation type="list" allowBlank="1" showInputMessage="1" showErrorMessage="1" xr:uid="{00000000-0002-0000-0200-000001000000}">
          <x14:formula1>
            <xm:f>Data!$A$24:$A$25</xm:f>
          </x14:formula1>
          <xm:sqref>F14:F15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71" t="s">
        <v>74</v>
      </c>
      <c r="H2" s="71"/>
      <c r="I2" s="71"/>
      <c r="J2" s="71"/>
      <c r="K2" s="71"/>
      <c r="L2" s="71"/>
      <c r="M2" s="71"/>
      <c r="N2" s="71"/>
      <c r="O2" s="71"/>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65" t="s">
        <v>68</v>
      </c>
      <c r="J6" s="36"/>
      <c r="K6" s="65" t="s">
        <v>64</v>
      </c>
      <c r="L6" s="37"/>
      <c r="M6" s="65" t="s">
        <v>65</v>
      </c>
      <c r="N6" s="37"/>
      <c r="O6" s="65" t="s">
        <v>72</v>
      </c>
    </row>
    <row r="7" spans="2:15" ht="18" customHeight="1" x14ac:dyDescent="0.3">
      <c r="C7" s="6" t="s">
        <v>43</v>
      </c>
      <c r="E7" s="28"/>
      <c r="F7" s="28"/>
      <c r="G7" s="28"/>
      <c r="H7" s="28"/>
      <c r="I7" s="62"/>
      <c r="K7" s="63"/>
      <c r="L7"/>
      <c r="M7" s="64"/>
      <c r="N7"/>
      <c r="O7" s="64"/>
    </row>
    <row r="8" spans="2:15" ht="18.75" customHeight="1" x14ac:dyDescent="0.25"/>
    <row r="9" spans="2:15" ht="15.75" thickBot="1" x14ac:dyDescent="0.3">
      <c r="B9" s="1" t="s">
        <v>7</v>
      </c>
      <c r="C9" s="2"/>
      <c r="D9" s="2"/>
      <c r="E9" s="2"/>
      <c r="F9" s="2"/>
      <c r="G9" s="4" t="s">
        <v>3</v>
      </c>
      <c r="H9" s="3"/>
      <c r="I9" s="4" t="s">
        <v>69</v>
      </c>
      <c r="J9" s="3"/>
      <c r="K9" s="4" t="s">
        <v>66</v>
      </c>
      <c r="L9" s="4"/>
      <c r="M9" s="4" t="s">
        <v>67</v>
      </c>
      <c r="N9" s="4"/>
      <c r="O9" s="4" t="s">
        <v>73</v>
      </c>
    </row>
    <row r="10" spans="2:15" ht="9" customHeight="1" x14ac:dyDescent="0.25"/>
    <row r="11" spans="2:15" ht="21.75" customHeight="1" x14ac:dyDescent="0.25">
      <c r="B11" s="9" t="s">
        <v>1</v>
      </c>
      <c r="C11" s="81"/>
      <c r="D11" s="81"/>
      <c r="E11" s="10"/>
      <c r="F11" s="10"/>
      <c r="G11" s="11" t="e">
        <f>I11+K11+M11+O11</f>
        <v>#N/A</v>
      </c>
      <c r="H11" s="10"/>
      <c r="I11" s="11" t="e">
        <f>VLOOKUP(I7,Data!F2:G21,2,FALSE)</f>
        <v>#N/A</v>
      </c>
      <c r="J11" s="10"/>
      <c r="K11" s="11" t="e">
        <f>VLOOKUP(K7,Data!F2:G21,2,FALSE)</f>
        <v>#N/A</v>
      </c>
      <c r="L11" s="11"/>
      <c r="M11" s="11" t="e">
        <f>VLOOKUP(M7,Data!F2:G21,2,FALSE)</f>
        <v>#N/A</v>
      </c>
      <c r="N11" s="11"/>
      <c r="O11" s="11" t="e">
        <f>VLOOKUP(O7,Data!F2:G21,2,FALSE)</f>
        <v>#N/A</v>
      </c>
    </row>
    <row r="12" spans="2:15" ht="21.75" customHeight="1" x14ac:dyDescent="0.25">
      <c r="B12" s="38" t="s">
        <v>2</v>
      </c>
      <c r="C12" s="39"/>
      <c r="D12" s="39"/>
      <c r="E12" s="39"/>
      <c r="F12" s="39"/>
      <c r="G12" s="40" t="e">
        <f>I12+K12+M12+O12</f>
        <v>#N/A</v>
      </c>
      <c r="H12" s="39"/>
      <c r="I12" s="40" t="e">
        <f>VLOOKUP(I7,Data!F2:H21,3,FALSE)</f>
        <v>#N/A</v>
      </c>
      <c r="J12" s="39"/>
      <c r="K12" s="40" t="e">
        <f>VLOOKUP(K7,Data!F2:H21,3,FALSE)</f>
        <v>#N/A</v>
      </c>
      <c r="L12" s="40"/>
      <c r="M12" s="40" t="e">
        <f>VLOOKUP(M7,Data!F2:H21,3,FALSE)</f>
        <v>#N/A</v>
      </c>
      <c r="N12" s="40"/>
      <c r="O12" s="40" t="e">
        <f>VLOOKUP(O7,Data!F2:H21,3,FALSE)</f>
        <v>#N/A</v>
      </c>
    </row>
    <row r="13" spans="2:15" ht="21.75" customHeight="1" x14ac:dyDescent="0.25">
      <c r="B13" s="19"/>
      <c r="C13" s="42" t="s">
        <v>6</v>
      </c>
      <c r="D13" s="19"/>
      <c r="E13" s="19"/>
      <c r="F13" s="19"/>
      <c r="G13" s="43" t="e">
        <f>SUM(G11:G12)</f>
        <v>#N/A</v>
      </c>
      <c r="H13" s="19"/>
      <c r="I13" s="43" t="e">
        <f>SUM(I11:I12)</f>
        <v>#N/A</v>
      </c>
      <c r="J13" s="19"/>
      <c r="K13" s="43" t="e">
        <f>SUM(K11:K12)</f>
        <v>#N/A</v>
      </c>
      <c r="L13" s="43"/>
      <c r="M13" s="43" t="e">
        <f>SUM(M11:M12)</f>
        <v>#N/A</v>
      </c>
      <c r="N13" s="43"/>
      <c r="O13" s="43" t="e">
        <f>SUM(O11:O12)</f>
        <v>#N/A</v>
      </c>
    </row>
    <row r="14" spans="2:15" ht="24" customHeight="1" x14ac:dyDescent="0.25"/>
    <row r="15" spans="2:15" ht="15.75" thickBot="1" x14ac:dyDescent="0.3">
      <c r="B15" s="1" t="s">
        <v>11</v>
      </c>
      <c r="C15" s="2"/>
      <c r="D15" s="2"/>
      <c r="E15" s="2"/>
      <c r="F15" s="2"/>
      <c r="G15" s="4" t="s">
        <v>3</v>
      </c>
      <c r="H15" s="3"/>
      <c r="I15" s="4" t="s">
        <v>69</v>
      </c>
      <c r="J15" s="3"/>
      <c r="K15" s="4" t="s">
        <v>66</v>
      </c>
      <c r="L15" s="4"/>
      <c r="M15" s="4" t="s">
        <v>67</v>
      </c>
      <c r="N15" s="4"/>
      <c r="O15" s="4" t="s">
        <v>73</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19</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20</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75" t="s">
        <v>24</v>
      </c>
      <c r="C21" s="75"/>
      <c r="D21" s="75"/>
      <c r="E21" s="75"/>
      <c r="F21" s="75"/>
      <c r="G21" s="27">
        <f>I21+K21+M21+O21</f>
        <v>0</v>
      </c>
      <c r="H21" s="26"/>
      <c r="I21" s="18"/>
      <c r="J21" s="26"/>
      <c r="K21" s="18"/>
      <c r="L21" s="69"/>
      <c r="M21" s="18"/>
      <c r="N21" s="69"/>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t="e">
        <f>G13-G22</f>
        <v>#N/A</v>
      </c>
      <c r="H24" s="24"/>
      <c r="I24" s="23" t="e">
        <f>I13-I22</f>
        <v>#N/A</v>
      </c>
      <c r="J24" s="24"/>
      <c r="K24" s="23" t="e">
        <f>K13-K22</f>
        <v>#N/A</v>
      </c>
      <c r="L24" s="23"/>
      <c r="M24" s="23" t="e">
        <f>M13-M22</f>
        <v>#N/A</v>
      </c>
      <c r="N24" s="23"/>
      <c r="O24" s="23" t="e">
        <f>O13-O22</f>
        <v>#N/A</v>
      </c>
    </row>
    <row r="25" spans="2:15" ht="15.75" thickTop="1" x14ac:dyDescent="0.25"/>
    <row r="26" spans="2:15" x14ac:dyDescent="0.25">
      <c r="B26" s="7" t="s">
        <v>13</v>
      </c>
    </row>
    <row r="27" spans="2:15" ht="21" customHeight="1" x14ac:dyDescent="0.25">
      <c r="B27" s="86" t="s">
        <v>80</v>
      </c>
      <c r="C27" s="76"/>
      <c r="D27" s="76"/>
      <c r="E27" s="76"/>
      <c r="F27" s="76"/>
      <c r="G27" s="76"/>
      <c r="H27" s="76"/>
      <c r="I27" s="76"/>
      <c r="J27" s="76"/>
      <c r="K27" s="76"/>
      <c r="L27" s="76"/>
      <c r="M27" s="76"/>
      <c r="N27" s="76"/>
      <c r="O27" s="76"/>
    </row>
    <row r="28" spans="2:15" ht="21.75" customHeight="1" x14ac:dyDescent="0.25">
      <c r="B28" s="74" t="s">
        <v>18</v>
      </c>
      <c r="C28" s="74"/>
      <c r="D28" s="74"/>
      <c r="E28" s="74"/>
      <c r="F28" s="74"/>
      <c r="G28" s="74"/>
      <c r="H28" s="74"/>
      <c r="I28" s="74"/>
      <c r="J28" s="74"/>
      <c r="K28" s="74"/>
      <c r="L28" s="74"/>
      <c r="M28" s="74"/>
      <c r="N28" s="74"/>
      <c r="O28" s="74"/>
    </row>
    <row r="29" spans="2:15" ht="21.75" customHeight="1" x14ac:dyDescent="0.25">
      <c r="B29" t="s">
        <v>60</v>
      </c>
    </row>
    <row r="30" spans="2:15" ht="51" customHeight="1" x14ac:dyDescent="0.25">
      <c r="B30" s="76" t="s">
        <v>61</v>
      </c>
      <c r="C30" s="76"/>
      <c r="D30" s="76"/>
      <c r="E30" s="76"/>
      <c r="F30" s="76"/>
      <c r="G30" s="76"/>
      <c r="H30" s="76"/>
      <c r="I30" s="76"/>
      <c r="J30" s="76"/>
      <c r="K30" s="76"/>
      <c r="L30" s="76"/>
      <c r="M30" s="76"/>
      <c r="N30" s="76"/>
      <c r="O30" s="76"/>
    </row>
    <row r="31" spans="2:15" ht="21.75" customHeight="1" x14ac:dyDescent="0.25"/>
    <row r="33" spans="2:15" x14ac:dyDescent="0.25">
      <c r="B33" s="70" t="s">
        <v>14</v>
      </c>
      <c r="C33" s="70"/>
      <c r="D33" s="70"/>
      <c r="E33" s="70"/>
      <c r="F33" s="70"/>
      <c r="G33" s="70"/>
      <c r="H33" s="70"/>
      <c r="I33" s="70"/>
      <c r="J33" s="70"/>
      <c r="K33" s="70"/>
      <c r="L33" s="70"/>
      <c r="M33" s="70"/>
      <c r="N33" s="70"/>
      <c r="O33" s="70"/>
    </row>
  </sheetData>
  <sheetProtection algorithmName="SHA-512" hashValue="SSJHUY6NnB7MrUqnBJDPhUe5NPkfC8Hcb0AWisGBMm3Ko7UNL8o/NBNyIOngdYHIRd9aUfEUnTk7JblbdztTsA==" saltValue="AVeq77xuXVt9OefPnRJMdg==" spinCount="100000" sheet="1" selectLockedCells="1"/>
  <mergeCells count="7">
    <mergeCell ref="B30:O30"/>
    <mergeCell ref="B33:O33"/>
    <mergeCell ref="G2:O2"/>
    <mergeCell ref="C11:D11"/>
    <mergeCell ref="B21:F21"/>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Data!$F$2:$F$21</xm:f>
          </x14:formula1>
          <xm:sqref>O7 I7 K7 M7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8"/>
  <sheetViews>
    <sheetView showGridLines="0" showRowColHeaders="0" showRuler="0" zoomScaleNormal="100" workbookViewId="0">
      <selection activeCell="G5" sqref="G5:H5"/>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77" t="s">
        <v>75</v>
      </c>
      <c r="I2" s="78"/>
      <c r="J2" s="78"/>
      <c r="K2" s="78"/>
      <c r="L2" s="78"/>
      <c r="M2" s="78"/>
      <c r="N2" s="78"/>
      <c r="O2" s="78"/>
    </row>
    <row r="3" spans="2:15" ht="8.25" customHeight="1" x14ac:dyDescent="0.25">
      <c r="B3" s="19"/>
      <c r="C3" s="19"/>
      <c r="D3" s="19"/>
      <c r="E3" s="19"/>
      <c r="F3" s="19"/>
      <c r="G3" s="19"/>
      <c r="H3" s="20"/>
      <c r="I3" s="21"/>
      <c r="J3" s="21"/>
      <c r="K3" s="21"/>
      <c r="L3" s="21"/>
      <c r="M3" s="21"/>
      <c r="N3" s="21"/>
      <c r="O3" s="21"/>
    </row>
    <row r="4" spans="2:15" ht="24" customHeight="1" x14ac:dyDescent="0.25">
      <c r="B4" s="61"/>
      <c r="C4" s="68"/>
      <c r="D4" s="61"/>
      <c r="E4" s="61"/>
      <c r="F4" s="61"/>
      <c r="G4" s="61"/>
      <c r="H4" s="61"/>
      <c r="I4" s="61"/>
      <c r="J4" s="61"/>
      <c r="K4" s="61"/>
      <c r="L4" s="61"/>
      <c r="M4" s="61"/>
      <c r="N4" s="61"/>
      <c r="O4" s="61"/>
    </row>
    <row r="5" spans="2:15" ht="19.5" customHeight="1" x14ac:dyDescent="0.3">
      <c r="D5" s="6" t="s">
        <v>50</v>
      </c>
      <c r="G5" s="79"/>
      <c r="H5" s="80"/>
      <c r="J5" s="49"/>
      <c r="L5" s="49"/>
      <c r="N5" s="49"/>
    </row>
    <row r="6" spans="2:15" ht="19.5" customHeight="1" x14ac:dyDescent="0.25">
      <c r="J6" s="49"/>
      <c r="L6" s="49"/>
      <c r="N6" s="49"/>
    </row>
    <row r="7" spans="2:15" ht="19.5" customHeight="1" x14ac:dyDescent="0.25">
      <c r="J7" s="49" t="s">
        <v>68</v>
      </c>
      <c r="L7" s="49" t="s">
        <v>64</v>
      </c>
      <c r="N7" s="49" t="s">
        <v>65</v>
      </c>
    </row>
    <row r="8" spans="2:15" ht="18" customHeight="1" x14ac:dyDescent="0.3">
      <c r="D8" s="6" t="s">
        <v>15</v>
      </c>
      <c r="E8" s="28"/>
      <c r="F8" s="28"/>
      <c r="G8" s="28"/>
      <c r="H8" s="28"/>
      <c r="I8" s="28"/>
      <c r="J8" s="48"/>
      <c r="L8" s="48"/>
      <c r="M8" s="22"/>
      <c r="N8" s="48"/>
      <c r="O8" s="28"/>
    </row>
    <row r="9" spans="2:15" ht="6" customHeight="1" x14ac:dyDescent="0.25"/>
    <row r="10" spans="2:15" ht="15.75" thickBot="1" x14ac:dyDescent="0.3">
      <c r="B10" s="1" t="s">
        <v>7</v>
      </c>
      <c r="C10" s="1"/>
      <c r="D10" s="2"/>
      <c r="E10" s="2"/>
      <c r="F10" s="2"/>
      <c r="G10" s="2"/>
      <c r="H10" s="4" t="s">
        <v>3</v>
      </c>
      <c r="I10" s="3"/>
      <c r="J10" s="4" t="s">
        <v>69</v>
      </c>
      <c r="K10" s="3"/>
      <c r="L10" s="4" t="s">
        <v>66</v>
      </c>
      <c r="M10" s="4"/>
      <c r="N10" s="4" t="s">
        <v>67</v>
      </c>
      <c r="O10" s="2"/>
    </row>
    <row r="11" spans="2:15" ht="9" customHeight="1" x14ac:dyDescent="0.25"/>
    <row r="12" spans="2:15" ht="21.75" customHeight="1" x14ac:dyDescent="0.25">
      <c r="B12" s="9" t="s">
        <v>1</v>
      </c>
      <c r="C12" s="9"/>
      <c r="D12" s="81"/>
      <c r="E12" s="81"/>
      <c r="F12" s="10"/>
      <c r="G12" s="10"/>
      <c r="H12" s="11" t="e">
        <f>J12+L12+N12</f>
        <v>#N/A</v>
      </c>
      <c r="I12" s="10"/>
      <c r="J12" s="11" t="e">
        <f>IF(G5="2020 Fall Quarter or Later",(VLOOKUP(J8,Data!J2:K21,2,FALSE)),(VLOOKUP(J8,Data!A2:B21,2,FALSE)))</f>
        <v>#N/A</v>
      </c>
      <c r="K12" s="10"/>
      <c r="L12" s="11" t="e">
        <f>IF(G5="2020 Fall Quarter or Later",(VLOOKUP(L8,Data!J2:K21,2,FALSE)),(VLOOKUP(L8,Data!A2:B21,2,FALSE)))</f>
        <v>#N/A</v>
      </c>
      <c r="M12" s="11"/>
      <c r="N12" s="11" t="e">
        <f>IF(G5="2020 Fall Quarter or Later",(VLOOKUP(N8,Data!J2:K21,2,FALSE)),(VLOOKUP(N8,Data!A2:B21,2,FALSE)))</f>
        <v>#N/A</v>
      </c>
      <c r="O12" s="10"/>
    </row>
    <row r="13" spans="2:15" ht="21.75" customHeight="1" x14ac:dyDescent="0.25">
      <c r="B13" s="60" t="s">
        <v>0</v>
      </c>
      <c r="C13" s="60"/>
    </row>
    <row r="14" spans="2:15" ht="21.75" customHeight="1" x14ac:dyDescent="0.25">
      <c r="B14" s="12" t="s">
        <v>2</v>
      </c>
      <c r="C14" s="12"/>
      <c r="D14" s="10"/>
      <c r="E14" s="10"/>
      <c r="F14" s="10"/>
      <c r="G14" s="10"/>
      <c r="H14" s="11" t="e">
        <f>J14+L14+N14</f>
        <v>#N/A</v>
      </c>
      <c r="I14" s="10"/>
      <c r="J14" s="11" t="e">
        <f>IF(G5="2020 Fall Quarter or Later",(VLOOKUP(J8,Data!J2:L21,3,FALSE)),(VLOOKUP(J8,Data!A2:C21,3,FALSE)))</f>
        <v>#N/A</v>
      </c>
      <c r="K14" s="10"/>
      <c r="L14" s="11" t="e">
        <f>IF(G5="2020 Fall Quarter or Later",(VLOOKUP(L8,Data!J2:L21,3,FALSE)),(VLOOKUP(L8,Data!A2:C21,3,FALSE)))</f>
        <v>#N/A</v>
      </c>
      <c r="M14" s="11"/>
      <c r="N14" s="11" t="e">
        <f>IF(G5="2020 Fall Quarter or Later",(VLOOKUP(N8,Data!J2:L21,3,FALSE)),(VLOOKUP(N8,Data!A2:C21,3,FALSE)))</f>
        <v>#N/A</v>
      </c>
      <c r="O14" s="10"/>
    </row>
    <row r="15" spans="2:15" ht="21.75" customHeight="1" x14ac:dyDescent="0.25">
      <c r="B15" s="41" t="s">
        <v>17</v>
      </c>
      <c r="C15" s="41"/>
      <c r="H15" s="5" t="e">
        <f>J15+L15+N15</f>
        <v>#N/A</v>
      </c>
      <c r="J15" s="5" t="e">
        <f>IF(J8&lt;&gt;"not enrolled",(VLOOKUP(J8,Data!A2:D21,4,FALSE)),0)</f>
        <v>#N/A</v>
      </c>
      <c r="L15" s="5" t="e">
        <f>IF(L8&lt;&gt;"not enrolled",(VLOOKUP(L8,Data!A2:D21,4,FALSE)),0)</f>
        <v>#N/A</v>
      </c>
      <c r="N15" s="5" t="e">
        <f>IF(N8&lt;&gt;"not enrolled",(VLOOKUP(N8,Data!A2:D21,4,FALSE)),0)</f>
        <v>#N/A</v>
      </c>
    </row>
    <row r="16" spans="2:15" ht="21.75" customHeight="1" x14ac:dyDescent="0.25">
      <c r="B16" s="82" t="s">
        <v>48</v>
      </c>
      <c r="C16" s="82"/>
      <c r="D16" s="82"/>
      <c r="E16" s="83"/>
      <c r="F16" s="31"/>
      <c r="G16" s="29"/>
      <c r="H16" s="30">
        <f>J16+L16+N16</f>
        <v>0</v>
      </c>
      <c r="I16" s="29"/>
      <c r="J16" s="30">
        <f>IF(AND(F16="Yes", J8&lt;&gt;"not enrolled"), (VLOOKUP(F16, Data!A24:C25, 2, FALSE)), 0)</f>
        <v>0</v>
      </c>
      <c r="K16" s="29"/>
      <c r="L16" s="30">
        <v>0</v>
      </c>
      <c r="M16" s="30"/>
      <c r="N16" s="30">
        <f>IF(AND(F16="Yes", N8&lt;&gt;"not enrolled"), (VLOOKUP(F16, Data!A24:C25, 2, FALSE)), 0)</f>
        <v>0</v>
      </c>
      <c r="O16" s="29"/>
    </row>
    <row r="17" spans="2:15" s="25" customFormat="1" ht="21.75" customHeight="1" x14ac:dyDescent="0.25">
      <c r="B17" s="84" t="s">
        <v>47</v>
      </c>
      <c r="C17" s="84"/>
      <c r="D17" s="84"/>
      <c r="E17" s="85"/>
      <c r="F17" s="50"/>
      <c r="G17" s="32"/>
      <c r="H17" s="33">
        <f>J17+L17+N17</f>
        <v>0</v>
      </c>
      <c r="I17" s="32"/>
      <c r="J17" s="33">
        <f>IF(AND(F17="Yes", J8&lt;&gt;"not enrolled",J8&lt;&gt;"4 credits",J8&lt;&gt;"5 credits"), (VLOOKUP(F17,Data!A24:C25, 3, FALSE)), 0)</f>
        <v>0</v>
      </c>
      <c r="K17" s="32"/>
      <c r="L17" s="33">
        <f>IF(AND(F17="Yes", L8&lt;&gt;"not enrolled",L8&lt;&gt;"4 credits",L8&lt;&gt;"5 credits"), (VLOOKUP(F17, Data!A24:C25, 3, FALSE)), 0)</f>
        <v>0</v>
      </c>
      <c r="M17" s="33"/>
      <c r="N17" s="33">
        <f>IF(AND(F17="Yes", N8&lt;&gt;"not enrolled",N8&lt;&gt;"4 credits",N8&lt;&gt;"5 credits"), (VLOOKUP(F17, Data!A24:C25, 3, FALSE)), 0)</f>
        <v>0</v>
      </c>
      <c r="O17" s="32"/>
    </row>
    <row r="18" spans="2:15" ht="21.75" customHeight="1" x14ac:dyDescent="0.25">
      <c r="D18" s="7" t="s">
        <v>6</v>
      </c>
      <c r="H18" s="8" t="e">
        <f>SUM(H12, H14:H17)</f>
        <v>#N/A</v>
      </c>
      <c r="J18" s="8" t="e">
        <f>SUM(J12,J14:J17)</f>
        <v>#N/A</v>
      </c>
      <c r="L18" s="8" t="e">
        <f>SUM(L12,L14:L17)</f>
        <v>#N/A</v>
      </c>
      <c r="M18" s="8"/>
      <c r="N18" s="8" t="e">
        <f>SUM(N12,N14:N17)</f>
        <v>#N/A</v>
      </c>
    </row>
    <row r="19" spans="2:15" ht="24" customHeight="1" x14ac:dyDescent="0.25"/>
    <row r="20" spans="2:15" ht="15.75" thickBot="1" x14ac:dyDescent="0.3">
      <c r="B20" s="1" t="s">
        <v>11</v>
      </c>
      <c r="C20" s="1"/>
      <c r="D20" s="2"/>
      <c r="E20" s="2"/>
      <c r="F20" s="2"/>
      <c r="G20" s="2"/>
      <c r="H20" s="4" t="s">
        <v>3</v>
      </c>
      <c r="I20" s="3"/>
      <c r="J20" s="4" t="s">
        <v>69</v>
      </c>
      <c r="K20" s="3"/>
      <c r="L20" s="4" t="s">
        <v>66</v>
      </c>
      <c r="M20" s="4"/>
      <c r="N20" s="4" t="s">
        <v>67</v>
      </c>
      <c r="O20" s="2"/>
    </row>
    <row r="21" spans="2:15" ht="21.75" customHeight="1" x14ac:dyDescent="0.25">
      <c r="B21" t="s">
        <v>16</v>
      </c>
      <c r="H21" s="15"/>
      <c r="J21" s="5">
        <f>IF((AND(J8&lt;&gt;"not enrolled", L8&lt;&gt;"not enrolled", N8&lt;&gt;"not enrolled")), (H21/3), IF((AND(J8&lt;&gt;"not enrolled", L8&lt;&gt;"not enrolled", N8="not enrolled")), (H21/2), IF((AND(J8&lt;&gt;"not enrolled", L8="not enrolled", N8="not enrolled")), (H21/1), 0)))</f>
        <v>0</v>
      </c>
      <c r="L21" s="5">
        <f>IF((AND(J8&lt;&gt;"not enrolled", L8&lt;&gt;"not enrolled", N8&lt;&gt;"not enrolled")), (H21/3), IF((AND(J8&lt;&gt;"not enrolled", L8&lt;&gt;"not enrolled", N8="not enrolled")), (H21/2), IF((AND(J8="not enrolled", L8&lt;&gt;"not enrolled", N8&lt;&gt;"not enrolled")), (H21/2), 0)))</f>
        <v>0</v>
      </c>
      <c r="N21" s="5">
        <f>IF((AND(J8&lt;&gt;"not enrolled", L8&lt;&gt;"not enrolled", N8&lt;&gt;"not enrolled")), (H21/3), IF((AND(J8="not enrolled", L8&lt;&gt;"not enrolled", N8&lt;&gt;"not enrolled")), (H21/2), IF((AND(J8="not enrolled", L8="not enrolled", N8&lt;&gt;"not enrolled")), (H21), 0)))</f>
        <v>0</v>
      </c>
    </row>
    <row r="22" spans="2:15" ht="21.75" customHeight="1" x14ac:dyDescent="0.25">
      <c r="B22" s="10" t="s">
        <v>8</v>
      </c>
      <c r="C22" s="10"/>
      <c r="D22" s="10"/>
      <c r="E22" s="10"/>
      <c r="F22" s="10"/>
      <c r="G22" s="10"/>
      <c r="H22" s="16"/>
      <c r="I22" s="10"/>
      <c r="J22" s="11">
        <f>IF((AND(J8&lt;&gt;"not enrolled", L8&lt;&gt;"not enrolled", N8&lt;&gt;"not enrolled")), (H22/3), IF((AND(J8&lt;&gt;"not enrolled", L8&lt;&gt;"not enrolled", N8="not enrolled")), (H22/2), IF((AND(J8&lt;&gt;"not enrolled", L8="not enrolled", N8="not enrolled")), (H22/1), 0)))</f>
        <v>0</v>
      </c>
      <c r="K22" s="10"/>
      <c r="L22" s="11">
        <f>IF((AND(J8&lt;&gt;"not enrolled", L8&lt;&gt;"not enrolled", N8&lt;&gt;"not enrolled")), (H22/3), IF((AND(J8&lt;&gt;"not enrolled", L8&lt;&gt;"not enrolled", N8="not enrolled")), (H22/2), IF((AND(J8="not enrolled", L8&lt;&gt;"not enrolled", N8&lt;&gt;"not enrolled")), (H22/2), 0)))</f>
        <v>0</v>
      </c>
      <c r="M22" s="11"/>
      <c r="N22" s="11">
        <f>IF((AND(J8&lt;&gt;"not enrolled", L8&lt;&gt;"not enrolled", N8&lt;&gt;"not enrolled")), (H22/3), IF((AND(J8="not enrolled", L8&lt;&gt;"not enrolled", N8&lt;&gt;"not enrolled")), (H22/2), IF((AND(J8="not enrolled", L8="not enrolled", N8&lt;&gt;"not enrolled")), (H22), 0)))</f>
        <v>0</v>
      </c>
      <c r="O22" s="10"/>
    </row>
    <row r="23" spans="2:15" ht="21.75" customHeight="1" x14ac:dyDescent="0.25">
      <c r="B23" t="s">
        <v>19</v>
      </c>
      <c r="F23" s="17"/>
      <c r="H23" s="5">
        <f>SUM(J23,L23,N23)</f>
        <v>0</v>
      </c>
      <c r="J23" s="5">
        <f>IF((AND(J8&lt;&gt;"not enrolled", L8&lt;&gt;"not enrolled", N8&lt;&gt;"not enrolled")), ROUND(((F23-(F23*0.01057))/3),0), IF((AND(J8&lt;&gt;"not enrolled", L8&lt;&gt;"not enrolled", N8="not enrolled")), ROUND(((F23-(F23*0.01057))/2),0), IF((AND(J8&lt;&gt;"not enrolled", L8="not enrolled", N8="not enrolled")), ROUND(((F23-(F23*0.01057))/1),0), 0)))</f>
        <v>0</v>
      </c>
      <c r="L23" s="5">
        <f>IF((AND(J8&lt;&gt;"not enrolled", L8&lt;&gt;"not enrolled", N8&lt;&gt;"not enrolled")), ROUND(((F23-(F23*0.01057))/3),0), IF((AND(J8&lt;&gt;"not enrolled", L8&lt;&gt;"not enrolled", N8="not enrolled")), ROUND(((F23-(F23*0.01057))/2),0), IF((AND(J8="not enrolled", L8&lt;&gt;"not enrolled", N8&lt;&gt;"not enrolled")), ROUND(((F23-(F23*0.01057))/2),0), 0)))</f>
        <v>0</v>
      </c>
      <c r="N23" s="5">
        <f>IF((AND(J8&lt;&gt;"not enrolled", L8&lt;&gt;"not enrolled", N8&lt;&gt;"not enrolled")), ROUND(((F23-(F23*0.01057))/3),0), IF((AND(J8="not enrolled", L8&lt;&gt;"not enrolled", N8&lt;&gt;"not enrolled")), ROUND(((F23-(F23*0.01057))/2),0), IF((AND(J8="not enrolled", L8="not enrolled", N8&lt;&gt;"not enrolled")), ROUND(((F23-(F23*0.01057))/1),0), 0)))</f>
        <v>0</v>
      </c>
    </row>
    <row r="24" spans="2:15" ht="21.75" customHeight="1" x14ac:dyDescent="0.25">
      <c r="B24" s="10" t="s">
        <v>20</v>
      </c>
      <c r="C24" s="10"/>
      <c r="D24" s="10"/>
      <c r="E24" s="10"/>
      <c r="F24" s="17"/>
      <c r="G24" s="10"/>
      <c r="H24" s="11">
        <f>SUM(J24,L24,N24)</f>
        <v>0</v>
      </c>
      <c r="I24" s="10"/>
      <c r="J24" s="11">
        <f>IF((AND(J8&lt;&gt;"not enrolled", L8&lt;&gt;"not enrolled", N8&lt;&gt;"not enrolled")), ROUND(((F24-(F24*0.04228))/3),0), IF((AND(J8&lt;&gt;"not enrolled", L8&lt;&gt;"not enrolled", N8="not enrolled")), ROUND(((F24-(F24*0.04228))/2),0), IF((AND(J8&lt;&gt;"not enrolled", L8="not enrolled", N8="not enrolled")), ROUND(((F24-(F24*0.04228))/1),0), 0)))</f>
        <v>0</v>
      </c>
      <c r="K24" s="10"/>
      <c r="L24" s="11">
        <f>IF((AND(J8&lt;&gt;"not enrolled", L8&lt;&gt;"not enrolled", N8&lt;&gt;"not enrolled")), ROUND(((F24-(F24*0.04228))/3),0), IF((AND(J8&lt;&gt;"not enrolled", L8&lt;&gt;"not enrolled", N8="not enrolled")), ROUND(((F24-(F24*0.04228))/2),0), IF((AND(J8="not enrolled", L8&lt;&gt;"not enrolled", N8&lt;&gt;"not enrolled")), ROUND(((F24-(F24*0.04228))/2),0), 0)))</f>
        <v>0</v>
      </c>
      <c r="M24" s="11"/>
      <c r="N24" s="11">
        <f>IF((AND(J8&lt;&gt;"not enrolled", L8&lt;&gt;"not enrolled", N8&lt;&gt;"not enrolled")), ROUND(((F24-(F24*0.04228))/3),0), IF((AND(J8="not enrolled", L8&lt;&gt;"not enrolled", N8&lt;&gt;"not enrolled")), ROUND(((F24-(F24*0.04228))/2),0), IF((AND(J8="not enrolled", L8="not enrolled", N8&lt;&gt;"not enrolled")), ROUND(((F24-(F24*0.04228))/1),0), 0)))</f>
        <v>0</v>
      </c>
      <c r="O24" s="10"/>
    </row>
    <row r="25" spans="2:15" ht="21.75" customHeight="1" x14ac:dyDescent="0.25">
      <c r="B25" s="74" t="s">
        <v>23</v>
      </c>
      <c r="C25" s="74"/>
      <c r="D25" s="74"/>
      <c r="E25" s="74"/>
      <c r="F25" s="74"/>
      <c r="H25" s="16"/>
      <c r="J25" s="5">
        <f>IF((AND(J8&lt;&gt;"not enrolled", L8&lt;&gt;"not enrolled", N8&lt;&gt;"not enrolled")), (H25/3), IF((AND(J8&lt;&gt;"not enrolled", L8&lt;&gt;"not enrolled", N8="not enrolled")), (H25/2), IF((AND(J8&lt;&gt;"not enrolled", L8="not enrolled", N8="not enrolled")), (H25/1), 0)))</f>
        <v>0</v>
      </c>
      <c r="L25" s="5">
        <f>IF((AND(J8&lt;&gt;"not enrolled", L8&lt;&gt;"not enrolled", N8&lt;&gt;"not enrolled")), (H25/3), IF((AND(J8&lt;&gt;"not enrolled", L8&lt;&gt;"not enrolled", N8="not enrolled")), (H25/2), IF((AND(J8="not enrolled", L8&lt;&gt;"not enrolled", N8&lt;&gt;"not enrolled")), (H25/2), 0)))</f>
        <v>0</v>
      </c>
      <c r="N25" s="5">
        <f>IF((AND(J8&lt;&gt;"not enrolled", L8&lt;&gt;"not enrolled", N8&lt;&gt;"not enrolled")), (H25/3), IF((AND(J8="not enrolled", L8&lt;&gt;"not enrolled", N8&lt;&gt;"not enrolled")), (H25/2), IF((AND(J8="not enrolled", L8="not enrolled", N8&lt;&gt;"not enrolled")), (H25), 0)))</f>
        <v>0</v>
      </c>
    </row>
    <row r="26" spans="2:15" ht="21.75" customHeight="1" x14ac:dyDescent="0.25">
      <c r="B26" s="75" t="s">
        <v>24</v>
      </c>
      <c r="C26" s="75"/>
      <c r="D26" s="75"/>
      <c r="E26" s="75"/>
      <c r="F26" s="75"/>
      <c r="G26" s="75"/>
      <c r="H26" s="27">
        <f>J26+L26+N26</f>
        <v>0</v>
      </c>
      <c r="I26" s="26"/>
      <c r="J26" s="18"/>
      <c r="K26" s="26"/>
      <c r="L26" s="18"/>
      <c r="M26" s="69"/>
      <c r="N26" s="58"/>
      <c r="O26" s="26"/>
    </row>
    <row r="27" spans="2:15" ht="21.75" customHeight="1" x14ac:dyDescent="0.25">
      <c r="D27" s="7" t="s">
        <v>10</v>
      </c>
      <c r="H27" s="5">
        <f>SUM(H21:H26)</f>
        <v>0</v>
      </c>
      <c r="J27" s="5">
        <f>SUM(J21:J26)</f>
        <v>0</v>
      </c>
      <c r="L27" s="5">
        <f>SUM(L21:L25,L26)</f>
        <v>0</v>
      </c>
      <c r="N27" s="5">
        <f>SUM(N21:N25,N26)</f>
        <v>0</v>
      </c>
    </row>
    <row r="28" spans="2:15" ht="15.75" thickBot="1" x14ac:dyDescent="0.3"/>
    <row r="29" spans="2:15" ht="21.75" customHeight="1" thickTop="1" thickBot="1" x14ac:dyDescent="0.35">
      <c r="B29" s="14" t="s">
        <v>12</v>
      </c>
      <c r="C29" s="14"/>
      <c r="D29" s="13"/>
      <c r="E29" s="13"/>
      <c r="F29" s="13"/>
      <c r="G29" s="13"/>
      <c r="H29" s="23" t="e">
        <f>H18-H27</f>
        <v>#N/A</v>
      </c>
      <c r="I29" s="24"/>
      <c r="J29" s="23" t="e">
        <f>J18-J27</f>
        <v>#N/A</v>
      </c>
      <c r="K29" s="24"/>
      <c r="L29" s="23" t="e">
        <f>L18-L27</f>
        <v>#N/A</v>
      </c>
      <c r="M29" s="23"/>
      <c r="N29" s="23" t="e">
        <f>N18-N27</f>
        <v>#N/A</v>
      </c>
      <c r="O29" s="13"/>
    </row>
    <row r="30" spans="2:15" ht="15.75" thickTop="1" x14ac:dyDescent="0.25"/>
    <row r="31" spans="2:15" x14ac:dyDescent="0.25">
      <c r="B31" s="7" t="s">
        <v>13</v>
      </c>
      <c r="C31" s="7"/>
    </row>
    <row r="32" spans="2:15" ht="21.75" customHeight="1" x14ac:dyDescent="0.25">
      <c r="B32" s="57">
        <v>1</v>
      </c>
      <c r="C32" s="55" t="str">
        <f>IF(G5="2020 Fall Quarter or Later",Data!A46,Data!A50)</f>
        <v>Tuition for the 2023-2024 academic year is $1,612 per credit. If enrolled in 12-18 credits, tuition will be charged a flat rate of $19,344.</v>
      </c>
      <c r="D32" s="56"/>
      <c r="E32" s="56"/>
      <c r="F32" s="56"/>
      <c r="G32" s="56"/>
      <c r="H32" s="56"/>
      <c r="I32" s="56"/>
      <c r="J32" s="56"/>
      <c r="K32" s="56"/>
      <c r="L32" s="56"/>
      <c r="M32" s="56"/>
      <c r="N32" s="56"/>
      <c r="O32" s="56"/>
    </row>
    <row r="33" spans="2:15" ht="18" customHeight="1" x14ac:dyDescent="0.25">
      <c r="B33" s="54">
        <v>2</v>
      </c>
      <c r="C33" s="55" t="s">
        <v>49</v>
      </c>
      <c r="D33" s="55"/>
      <c r="E33" s="55"/>
      <c r="F33" s="55"/>
      <c r="G33" s="55"/>
      <c r="H33" s="55"/>
      <c r="I33" s="55"/>
      <c r="J33" s="55"/>
      <c r="K33" s="55"/>
      <c r="L33" s="55"/>
      <c r="M33" s="55"/>
      <c r="N33" s="55"/>
      <c r="O33" s="55"/>
    </row>
    <row r="34" spans="2:15" ht="18" customHeight="1" x14ac:dyDescent="0.25">
      <c r="B34" s="54">
        <v>3</v>
      </c>
      <c r="C34" t="s">
        <v>58</v>
      </c>
    </row>
    <row r="35" spans="2:15" ht="46.5" customHeight="1" x14ac:dyDescent="0.25">
      <c r="B35" s="53">
        <v>4</v>
      </c>
      <c r="C35" s="76" t="s">
        <v>59</v>
      </c>
      <c r="D35" s="76"/>
      <c r="E35" s="76"/>
      <c r="F35" s="76"/>
      <c r="G35" s="76"/>
      <c r="H35" s="76"/>
      <c r="I35" s="76"/>
      <c r="J35" s="76"/>
      <c r="K35" s="76"/>
      <c r="L35" s="76"/>
      <c r="M35" s="76"/>
      <c r="N35" s="76"/>
      <c r="O35" s="76"/>
    </row>
    <row r="36" spans="2:15" ht="21.75" customHeight="1" x14ac:dyDescent="0.25"/>
    <row r="38" spans="2:15" x14ac:dyDescent="0.25">
      <c r="B38" s="70" t="s">
        <v>14</v>
      </c>
      <c r="C38" s="70"/>
      <c r="D38" s="70"/>
      <c r="E38" s="70"/>
      <c r="F38" s="70"/>
      <c r="G38" s="70"/>
      <c r="H38" s="70"/>
      <c r="I38" s="70"/>
      <c r="J38" s="70"/>
      <c r="K38" s="70"/>
      <c r="L38" s="70"/>
      <c r="M38" s="70"/>
      <c r="N38" s="70"/>
      <c r="O38" s="70"/>
    </row>
  </sheetData>
  <sheetProtection algorithmName="SHA-512" hashValue="4VkEu2NXd8GUBOlWSqbos5HjvKKmni292TZ/KUVBueCgV1MjFra5Ab1AnITT/lA8twhSkt+uuhId7cIBW9Vw+Q==" saltValue="yROVrInxv3sf8Wn2XXswnQ==" spinCount="100000" sheet="1" objects="1" scenarios="1" selectLockedCells="1"/>
  <mergeCells count="9">
    <mergeCell ref="B25:F25"/>
    <mergeCell ref="B26:G26"/>
    <mergeCell ref="C35:O35"/>
    <mergeCell ref="B38:O38"/>
    <mergeCell ref="H2:O2"/>
    <mergeCell ref="G5:H5"/>
    <mergeCell ref="D12:E12"/>
    <mergeCell ref="B16:E16"/>
    <mergeCell ref="B17:E17"/>
  </mergeCells>
  <hyperlinks>
    <hyperlink ref="B16" r:id="rId1" display="Will you enroll in DU's health insurance plan?" xr:uid="{00000000-0004-0000-0400-000000000000}"/>
    <hyperlink ref="B17" r:id="rId2" display="Will you use DU Health &amp; Counseling Services? " xr:uid="{00000000-0004-0000-04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Data!$A$2:$A$21</xm:f>
          </x14:formula1>
          <xm:sqref>L8 J8 N8</xm:sqref>
        </x14:dataValidation>
        <x14:dataValidation type="list" allowBlank="1" showInputMessage="1" showErrorMessage="1" xr:uid="{00000000-0002-0000-0400-000001000000}">
          <x14:formula1>
            <xm:f>Data!$A$24:$A$25</xm:f>
          </x14:formula1>
          <xm:sqref>F16:F17</xm:sqref>
        </x14:dataValidation>
        <x14:dataValidation type="list" allowBlank="1" showInputMessage="1" showErrorMessage="1" xr:uid="{00000000-0002-0000-0400-000002000000}">
          <x14:formula1>
            <xm:f>Data!$A$27:$A$28</xm:f>
          </x14:formula1>
          <xm:sqref>G5:H5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61"/>
  <sheetViews>
    <sheetView showGridLines="0" workbookViewId="0">
      <selection activeCell="A51" sqref="A51"/>
    </sheetView>
  </sheetViews>
  <sheetFormatPr defaultColWidth="8.85546875" defaultRowHeight="15" x14ac:dyDescent="0.25"/>
  <cols>
    <col min="1" max="1" width="11.140625" customWidth="1"/>
    <col min="4" max="4" width="10.85546875" customWidth="1"/>
    <col min="5" max="5" width="12.140625" bestFit="1"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t="s">
        <v>21</v>
      </c>
      <c r="D1" s="7" t="s">
        <v>44</v>
      </c>
      <c r="F1" s="66">
        <v>1178</v>
      </c>
      <c r="J1" s="66">
        <v>1612</v>
      </c>
    </row>
    <row r="2" spans="1:22" x14ac:dyDescent="0.25">
      <c r="A2" s="35" t="s">
        <v>42</v>
      </c>
      <c r="B2">
        <v>0</v>
      </c>
      <c r="C2">
        <v>0</v>
      </c>
      <c r="D2">
        <v>0</v>
      </c>
      <c r="F2" s="35" t="s">
        <v>42</v>
      </c>
      <c r="G2" s="35">
        <v>0</v>
      </c>
      <c r="H2">
        <v>0</v>
      </c>
      <c r="J2" s="35" t="s">
        <v>42</v>
      </c>
      <c r="K2" s="56">
        <v>0</v>
      </c>
      <c r="L2">
        <v>0</v>
      </c>
      <c r="M2" s="56"/>
      <c r="N2" s="56"/>
      <c r="O2" s="56"/>
      <c r="P2" s="56"/>
      <c r="Q2" s="56"/>
      <c r="R2" s="56"/>
      <c r="S2" s="56"/>
      <c r="T2" s="56"/>
      <c r="U2" s="56"/>
      <c r="V2" s="56"/>
    </row>
    <row r="3" spans="1:22" x14ac:dyDescent="0.25">
      <c r="A3" t="s">
        <v>25</v>
      </c>
      <c r="B3">
        <v>6448</v>
      </c>
      <c r="C3">
        <v>16</v>
      </c>
      <c r="D3">
        <v>53</v>
      </c>
      <c r="F3" t="s">
        <v>25</v>
      </c>
      <c r="G3">
        <v>4712</v>
      </c>
      <c r="H3">
        <v>16</v>
      </c>
      <c r="J3" t="s">
        <v>25</v>
      </c>
      <c r="K3">
        <v>6448</v>
      </c>
      <c r="L3">
        <v>16</v>
      </c>
      <c r="M3" s="56"/>
      <c r="N3" s="56"/>
      <c r="O3" s="56"/>
      <c r="P3" s="56"/>
      <c r="Q3" s="56"/>
      <c r="R3" s="56"/>
      <c r="S3" s="56"/>
      <c r="T3" s="56"/>
      <c r="U3" s="56"/>
      <c r="V3" s="56"/>
    </row>
    <row r="4" spans="1:22" x14ac:dyDescent="0.25">
      <c r="A4" t="s">
        <v>26</v>
      </c>
      <c r="B4">
        <v>8060</v>
      </c>
      <c r="C4">
        <v>20</v>
      </c>
      <c r="D4">
        <v>53</v>
      </c>
      <c r="F4" t="s">
        <v>26</v>
      </c>
      <c r="G4">
        <v>5890</v>
      </c>
      <c r="H4">
        <v>20</v>
      </c>
      <c r="J4" t="s">
        <v>26</v>
      </c>
      <c r="K4">
        <v>8060</v>
      </c>
      <c r="L4">
        <v>20</v>
      </c>
    </row>
    <row r="5" spans="1:22" x14ac:dyDescent="0.25">
      <c r="A5" t="s">
        <v>27</v>
      </c>
      <c r="B5">
        <v>9672</v>
      </c>
      <c r="C5">
        <v>24</v>
      </c>
      <c r="D5">
        <v>53</v>
      </c>
      <c r="F5" t="s">
        <v>27</v>
      </c>
      <c r="G5">
        <v>7068</v>
      </c>
      <c r="H5">
        <v>24</v>
      </c>
      <c r="J5" t="s">
        <v>27</v>
      </c>
      <c r="K5">
        <v>9672</v>
      </c>
      <c r="L5">
        <v>24</v>
      </c>
    </row>
    <row r="6" spans="1:22" x14ac:dyDescent="0.25">
      <c r="A6" t="s">
        <v>28</v>
      </c>
      <c r="B6">
        <v>11284</v>
      </c>
      <c r="C6">
        <v>28</v>
      </c>
      <c r="D6">
        <v>53</v>
      </c>
      <c r="F6" t="s">
        <v>28</v>
      </c>
      <c r="G6">
        <v>8246</v>
      </c>
      <c r="H6">
        <v>28</v>
      </c>
      <c r="J6" t="s">
        <v>28</v>
      </c>
      <c r="K6">
        <v>11284</v>
      </c>
      <c r="L6">
        <v>28</v>
      </c>
    </row>
    <row r="7" spans="1:22" x14ac:dyDescent="0.25">
      <c r="A7" t="s">
        <v>29</v>
      </c>
      <c r="B7">
        <v>12896</v>
      </c>
      <c r="C7">
        <v>32</v>
      </c>
      <c r="D7">
        <v>53</v>
      </c>
      <c r="F7" t="s">
        <v>29</v>
      </c>
      <c r="G7">
        <v>9424</v>
      </c>
      <c r="H7">
        <v>32</v>
      </c>
      <c r="J7" t="s">
        <v>29</v>
      </c>
      <c r="K7">
        <v>12896</v>
      </c>
      <c r="L7">
        <v>32</v>
      </c>
    </row>
    <row r="8" spans="1:22" x14ac:dyDescent="0.25">
      <c r="A8" t="s">
        <v>30</v>
      </c>
      <c r="B8">
        <v>14508</v>
      </c>
      <c r="C8">
        <v>36</v>
      </c>
      <c r="D8">
        <v>53</v>
      </c>
      <c r="F8" t="s">
        <v>30</v>
      </c>
      <c r="G8">
        <v>10602</v>
      </c>
      <c r="H8">
        <v>36</v>
      </c>
      <c r="J8" t="s">
        <v>30</v>
      </c>
      <c r="K8">
        <v>14508</v>
      </c>
      <c r="L8">
        <v>36</v>
      </c>
    </row>
    <row r="9" spans="1:22" x14ac:dyDescent="0.25">
      <c r="A9" t="s">
        <v>31</v>
      </c>
      <c r="B9">
        <v>16120</v>
      </c>
      <c r="C9">
        <v>40</v>
      </c>
      <c r="D9">
        <v>53</v>
      </c>
      <c r="F9" t="s">
        <v>31</v>
      </c>
      <c r="G9">
        <v>11780</v>
      </c>
      <c r="H9">
        <v>40</v>
      </c>
      <c r="J9" t="s">
        <v>31</v>
      </c>
      <c r="K9">
        <v>16120</v>
      </c>
      <c r="L9">
        <v>40</v>
      </c>
    </row>
    <row r="10" spans="1:22" x14ac:dyDescent="0.25">
      <c r="A10" t="s">
        <v>32</v>
      </c>
      <c r="B10">
        <v>17732</v>
      </c>
      <c r="C10">
        <v>44</v>
      </c>
      <c r="D10">
        <v>53</v>
      </c>
      <c r="F10" t="s">
        <v>32</v>
      </c>
      <c r="G10">
        <v>12958</v>
      </c>
      <c r="H10">
        <v>44</v>
      </c>
      <c r="J10" t="s">
        <v>32</v>
      </c>
      <c r="K10">
        <v>17732</v>
      </c>
      <c r="L10">
        <v>44</v>
      </c>
    </row>
    <row r="11" spans="1:22" x14ac:dyDescent="0.25">
      <c r="A11" t="s">
        <v>33</v>
      </c>
      <c r="B11">
        <v>19344</v>
      </c>
      <c r="C11">
        <v>48</v>
      </c>
      <c r="D11">
        <v>53</v>
      </c>
      <c r="F11" t="s">
        <v>33</v>
      </c>
      <c r="G11">
        <v>14136</v>
      </c>
      <c r="H11">
        <v>48</v>
      </c>
      <c r="J11" t="s">
        <v>33</v>
      </c>
      <c r="K11">
        <v>19344</v>
      </c>
      <c r="L11">
        <v>48</v>
      </c>
    </row>
    <row r="12" spans="1:22" x14ac:dyDescent="0.25">
      <c r="A12" t="s">
        <v>34</v>
      </c>
      <c r="B12">
        <v>19344</v>
      </c>
      <c r="C12">
        <v>48</v>
      </c>
      <c r="D12">
        <v>53</v>
      </c>
      <c r="F12" t="s">
        <v>34</v>
      </c>
      <c r="G12">
        <v>15314</v>
      </c>
      <c r="H12">
        <v>52</v>
      </c>
      <c r="J12" t="s">
        <v>34</v>
      </c>
      <c r="K12">
        <v>20956</v>
      </c>
      <c r="L12">
        <v>52</v>
      </c>
    </row>
    <row r="13" spans="1:22" x14ac:dyDescent="0.25">
      <c r="A13" t="s">
        <v>35</v>
      </c>
      <c r="B13">
        <v>19344</v>
      </c>
      <c r="C13">
        <v>48</v>
      </c>
      <c r="D13">
        <v>53</v>
      </c>
      <c r="F13" t="s">
        <v>35</v>
      </c>
      <c r="G13">
        <v>16492</v>
      </c>
      <c r="H13">
        <v>56</v>
      </c>
      <c r="J13" t="s">
        <v>35</v>
      </c>
      <c r="K13">
        <v>22568</v>
      </c>
      <c r="L13">
        <v>56</v>
      </c>
    </row>
    <row r="14" spans="1:22" x14ac:dyDescent="0.25">
      <c r="A14" t="s">
        <v>36</v>
      </c>
      <c r="B14">
        <v>19344</v>
      </c>
      <c r="C14">
        <v>48</v>
      </c>
      <c r="D14">
        <v>53</v>
      </c>
      <c r="F14" t="s">
        <v>36</v>
      </c>
      <c r="G14">
        <v>17670</v>
      </c>
      <c r="H14">
        <v>60</v>
      </c>
      <c r="J14" t="s">
        <v>36</v>
      </c>
      <c r="K14">
        <v>24180</v>
      </c>
      <c r="L14">
        <v>60</v>
      </c>
    </row>
    <row r="15" spans="1:22" x14ac:dyDescent="0.25">
      <c r="A15" t="s">
        <v>37</v>
      </c>
      <c r="B15">
        <v>19344</v>
      </c>
      <c r="C15">
        <v>48</v>
      </c>
      <c r="D15">
        <v>53</v>
      </c>
      <c r="F15" t="s">
        <v>37</v>
      </c>
      <c r="G15">
        <v>18848</v>
      </c>
      <c r="H15">
        <v>64</v>
      </c>
      <c r="J15" t="s">
        <v>37</v>
      </c>
      <c r="K15">
        <v>25792</v>
      </c>
      <c r="L15">
        <v>64</v>
      </c>
    </row>
    <row r="16" spans="1:22" x14ac:dyDescent="0.25">
      <c r="A16" t="s">
        <v>38</v>
      </c>
      <c r="B16">
        <v>19344</v>
      </c>
      <c r="C16">
        <v>48</v>
      </c>
      <c r="D16">
        <v>53</v>
      </c>
      <c r="F16" t="s">
        <v>38</v>
      </c>
      <c r="G16">
        <v>20026</v>
      </c>
      <c r="H16">
        <v>68</v>
      </c>
      <c r="J16" t="s">
        <v>38</v>
      </c>
      <c r="K16">
        <v>27404</v>
      </c>
      <c r="L16">
        <v>68</v>
      </c>
    </row>
    <row r="17" spans="1:18" x14ac:dyDescent="0.25">
      <c r="A17" t="s">
        <v>39</v>
      </c>
      <c r="B17">
        <v>19344</v>
      </c>
      <c r="C17">
        <v>48</v>
      </c>
      <c r="D17">
        <v>53</v>
      </c>
      <c r="F17" t="s">
        <v>39</v>
      </c>
      <c r="G17">
        <v>21204</v>
      </c>
      <c r="H17">
        <v>72</v>
      </c>
      <c r="J17" t="s">
        <v>39</v>
      </c>
      <c r="K17">
        <v>29016</v>
      </c>
      <c r="L17">
        <v>72</v>
      </c>
    </row>
    <row r="18" spans="1:18" x14ac:dyDescent="0.25">
      <c r="A18" t="s">
        <v>40</v>
      </c>
      <c r="B18">
        <v>20956</v>
      </c>
      <c r="C18">
        <v>52</v>
      </c>
      <c r="D18">
        <v>53</v>
      </c>
      <c r="F18" t="s">
        <v>40</v>
      </c>
      <c r="G18">
        <v>22382</v>
      </c>
      <c r="H18">
        <v>76</v>
      </c>
      <c r="J18" t="s">
        <v>40</v>
      </c>
      <c r="K18">
        <v>30628</v>
      </c>
      <c r="L18">
        <v>76</v>
      </c>
    </row>
    <row r="19" spans="1:18" x14ac:dyDescent="0.25">
      <c r="A19" t="s">
        <v>41</v>
      </c>
      <c r="B19">
        <v>22568</v>
      </c>
      <c r="C19">
        <v>56</v>
      </c>
      <c r="D19">
        <v>53</v>
      </c>
      <c r="F19" t="s">
        <v>41</v>
      </c>
      <c r="G19">
        <v>23560</v>
      </c>
      <c r="H19">
        <v>80</v>
      </c>
      <c r="J19" t="s">
        <v>41</v>
      </c>
      <c r="K19">
        <v>32240</v>
      </c>
      <c r="L19">
        <v>80</v>
      </c>
    </row>
    <row r="20" spans="1:18" x14ac:dyDescent="0.25">
      <c r="A20" t="s">
        <v>45</v>
      </c>
      <c r="B20">
        <v>24180</v>
      </c>
      <c r="C20">
        <v>60</v>
      </c>
      <c r="D20">
        <v>53</v>
      </c>
      <c r="F20" t="s">
        <v>45</v>
      </c>
      <c r="G20">
        <v>24738</v>
      </c>
      <c r="H20">
        <v>84</v>
      </c>
      <c r="J20" t="s">
        <v>45</v>
      </c>
      <c r="K20">
        <v>33852</v>
      </c>
      <c r="L20">
        <v>84</v>
      </c>
    </row>
    <row r="21" spans="1:18" x14ac:dyDescent="0.25">
      <c r="A21" t="s">
        <v>46</v>
      </c>
      <c r="B21">
        <v>25792</v>
      </c>
      <c r="C21">
        <v>64</v>
      </c>
      <c r="D21">
        <v>53</v>
      </c>
      <c r="F21" t="s">
        <v>46</v>
      </c>
      <c r="G21">
        <v>25916</v>
      </c>
      <c r="H21">
        <v>88</v>
      </c>
      <c r="J21" t="s">
        <v>46</v>
      </c>
      <c r="K21">
        <v>35464</v>
      </c>
      <c r="L21">
        <v>88</v>
      </c>
    </row>
    <row r="23" spans="1:18" x14ac:dyDescent="0.25">
      <c r="A23" s="7" t="s">
        <v>22</v>
      </c>
      <c r="E23" s="7"/>
      <c r="F23" s="67">
        <v>806</v>
      </c>
      <c r="G23" s="7"/>
      <c r="H23" s="7"/>
      <c r="I23" s="7"/>
      <c r="J23" s="66"/>
      <c r="K23" s="7"/>
      <c r="M23" s="7"/>
      <c r="N23" s="67"/>
      <c r="P23" s="7"/>
      <c r="Q23" s="7"/>
      <c r="R23" s="7"/>
    </row>
    <row r="24" spans="1:18" x14ac:dyDescent="0.25">
      <c r="A24" t="s">
        <v>4</v>
      </c>
      <c r="B24">
        <v>1885</v>
      </c>
      <c r="C24">
        <v>233</v>
      </c>
      <c r="E24" s="35"/>
      <c r="F24" s="35" t="s">
        <v>42</v>
      </c>
      <c r="G24" s="35">
        <v>0</v>
      </c>
      <c r="H24">
        <v>0</v>
      </c>
      <c r="J24" s="35"/>
      <c r="K24" s="35"/>
      <c r="M24" s="35"/>
      <c r="N24" s="35"/>
    </row>
    <row r="25" spans="1:18" x14ac:dyDescent="0.25">
      <c r="A25" t="s">
        <v>5</v>
      </c>
      <c r="B25">
        <v>0</v>
      </c>
      <c r="C25">
        <v>0</v>
      </c>
      <c r="F25" t="s">
        <v>25</v>
      </c>
      <c r="G25" s="35">
        <v>3224</v>
      </c>
      <c r="H25">
        <v>16</v>
      </c>
      <c r="K25" s="35"/>
      <c r="M25" s="35"/>
    </row>
    <row r="26" spans="1:18" x14ac:dyDescent="0.25">
      <c r="F26" t="s">
        <v>26</v>
      </c>
      <c r="G26" s="35">
        <v>4030</v>
      </c>
      <c r="H26">
        <v>20</v>
      </c>
      <c r="K26" s="35"/>
      <c r="M26" s="35"/>
    </row>
    <row r="27" spans="1:18" x14ac:dyDescent="0.25">
      <c r="A27" t="s">
        <v>51</v>
      </c>
      <c r="F27" t="s">
        <v>27</v>
      </c>
      <c r="G27" s="35">
        <v>4836</v>
      </c>
      <c r="H27">
        <v>24</v>
      </c>
      <c r="K27" s="35"/>
      <c r="M27" s="35"/>
    </row>
    <row r="28" spans="1:18" x14ac:dyDescent="0.25">
      <c r="A28" t="s">
        <v>52</v>
      </c>
      <c r="F28" t="s">
        <v>28</v>
      </c>
      <c r="G28" s="35">
        <v>5642</v>
      </c>
      <c r="H28">
        <v>28</v>
      </c>
      <c r="K28" s="35"/>
      <c r="M28" s="35"/>
    </row>
    <row r="29" spans="1:18" x14ac:dyDescent="0.25">
      <c r="F29" t="s">
        <v>29</v>
      </c>
      <c r="G29" s="35">
        <v>6448</v>
      </c>
      <c r="H29">
        <v>32</v>
      </c>
      <c r="K29" s="35"/>
      <c r="M29" s="35"/>
    </row>
    <row r="30" spans="1:18" x14ac:dyDescent="0.25">
      <c r="F30" t="s">
        <v>30</v>
      </c>
      <c r="G30" s="35">
        <v>7254</v>
      </c>
      <c r="H30">
        <v>36</v>
      </c>
      <c r="K30" s="35"/>
      <c r="M30" s="35"/>
    </row>
    <row r="31" spans="1:18" x14ac:dyDescent="0.25">
      <c r="F31" t="s">
        <v>31</v>
      </c>
      <c r="G31" s="35">
        <v>8060</v>
      </c>
      <c r="H31">
        <v>40</v>
      </c>
      <c r="K31" s="35"/>
      <c r="M31" s="35"/>
    </row>
    <row r="32" spans="1:18" x14ac:dyDescent="0.25">
      <c r="F32" t="s">
        <v>32</v>
      </c>
      <c r="G32" s="35">
        <v>8866</v>
      </c>
      <c r="H32">
        <v>44</v>
      </c>
      <c r="K32" s="35"/>
      <c r="M32" s="35"/>
    </row>
    <row r="33" spans="1:13" x14ac:dyDescent="0.25">
      <c r="F33" t="s">
        <v>33</v>
      </c>
      <c r="G33" s="35">
        <v>9672</v>
      </c>
      <c r="H33">
        <v>48</v>
      </c>
      <c r="K33" s="35"/>
      <c r="M33" s="35"/>
    </row>
    <row r="34" spans="1:13" x14ac:dyDescent="0.25">
      <c r="F34" t="s">
        <v>34</v>
      </c>
      <c r="G34" s="35">
        <v>10478</v>
      </c>
      <c r="H34">
        <v>52</v>
      </c>
      <c r="K34" s="35"/>
      <c r="M34" s="35"/>
    </row>
    <row r="35" spans="1:13" x14ac:dyDescent="0.25">
      <c r="F35" t="s">
        <v>35</v>
      </c>
      <c r="G35" s="35">
        <v>11284</v>
      </c>
      <c r="H35">
        <v>56</v>
      </c>
      <c r="K35" s="35"/>
      <c r="M35" s="35"/>
    </row>
    <row r="36" spans="1:13" x14ac:dyDescent="0.25">
      <c r="F36" t="s">
        <v>36</v>
      </c>
      <c r="G36" s="35">
        <v>12090</v>
      </c>
      <c r="H36">
        <v>60</v>
      </c>
      <c r="K36" s="35"/>
      <c r="M36" s="35"/>
    </row>
    <row r="37" spans="1:13" x14ac:dyDescent="0.25">
      <c r="F37" t="s">
        <v>37</v>
      </c>
      <c r="G37" s="35">
        <v>12896</v>
      </c>
      <c r="H37">
        <v>64</v>
      </c>
      <c r="K37" s="35"/>
      <c r="M37" s="35"/>
    </row>
    <row r="38" spans="1:13" x14ac:dyDescent="0.25">
      <c r="F38" t="s">
        <v>38</v>
      </c>
      <c r="G38" s="35">
        <v>13702</v>
      </c>
      <c r="H38">
        <v>68</v>
      </c>
      <c r="K38" s="35"/>
      <c r="M38" s="35"/>
    </row>
    <row r="39" spans="1:13" x14ac:dyDescent="0.25">
      <c r="F39" t="s">
        <v>39</v>
      </c>
      <c r="G39" s="35">
        <v>14508</v>
      </c>
      <c r="H39">
        <v>72</v>
      </c>
      <c r="K39" s="35"/>
      <c r="M39" s="35"/>
    </row>
    <row r="40" spans="1:13" x14ac:dyDescent="0.25">
      <c r="F40" t="s">
        <v>40</v>
      </c>
      <c r="G40" s="35">
        <v>15314</v>
      </c>
      <c r="H40">
        <v>76</v>
      </c>
      <c r="K40" s="35"/>
      <c r="M40" s="35"/>
    </row>
    <row r="41" spans="1:13" x14ac:dyDescent="0.25">
      <c r="F41" t="s">
        <v>41</v>
      </c>
      <c r="G41" s="35">
        <v>16120</v>
      </c>
      <c r="H41">
        <v>80</v>
      </c>
      <c r="K41" s="35"/>
      <c r="M41" s="35"/>
    </row>
    <row r="42" spans="1:13" x14ac:dyDescent="0.25">
      <c r="F42" t="s">
        <v>45</v>
      </c>
      <c r="G42" s="35">
        <v>16926</v>
      </c>
      <c r="H42">
        <v>84</v>
      </c>
      <c r="K42" s="35"/>
    </row>
    <row r="43" spans="1:13" x14ac:dyDescent="0.25">
      <c r="E43" s="7"/>
      <c r="F43" t="s">
        <v>46</v>
      </c>
      <c r="G43" s="35">
        <v>17732</v>
      </c>
      <c r="H43">
        <v>88</v>
      </c>
      <c r="I43" s="7"/>
      <c r="K43" s="35"/>
    </row>
    <row r="44" spans="1:13" x14ac:dyDescent="0.25">
      <c r="E44" s="35"/>
      <c r="F44" s="35"/>
      <c r="G44" s="35"/>
    </row>
    <row r="45" spans="1:13" x14ac:dyDescent="0.25">
      <c r="F45" s="35"/>
      <c r="G45" s="35"/>
    </row>
    <row r="46" spans="1:13" x14ac:dyDescent="0.25">
      <c r="A46" t="s">
        <v>76</v>
      </c>
      <c r="F46" s="35"/>
      <c r="G46" s="35"/>
    </row>
    <row r="47" spans="1:13" x14ac:dyDescent="0.25">
      <c r="A47" t="s">
        <v>77</v>
      </c>
      <c r="F47" s="35"/>
      <c r="G47" s="35"/>
    </row>
    <row r="48" spans="1:13" x14ac:dyDescent="0.25">
      <c r="A48" t="s">
        <v>78</v>
      </c>
      <c r="F48" s="35"/>
      <c r="G48" s="35"/>
    </row>
    <row r="49" spans="1:7" x14ac:dyDescent="0.25">
      <c r="F49" s="35"/>
      <c r="G49" s="35"/>
    </row>
    <row r="50" spans="1:7" x14ac:dyDescent="0.25">
      <c r="A50" t="s">
        <v>79</v>
      </c>
      <c r="F50" s="35"/>
      <c r="G50" s="35"/>
    </row>
    <row r="51" spans="1:7" x14ac:dyDescent="0.25">
      <c r="F51" s="35"/>
      <c r="G51" s="35"/>
    </row>
    <row r="52" spans="1:7" x14ac:dyDescent="0.25">
      <c r="F52" s="35"/>
      <c r="G52" s="35"/>
    </row>
    <row r="53" spans="1:7" x14ac:dyDescent="0.25">
      <c r="F53" s="35"/>
      <c r="G53" s="35"/>
    </row>
    <row r="54" spans="1:7" x14ac:dyDescent="0.25">
      <c r="F54" s="35"/>
      <c r="G54" s="35"/>
    </row>
    <row r="55" spans="1:7" x14ac:dyDescent="0.25">
      <c r="F55" s="35"/>
      <c r="G55" s="35"/>
    </row>
    <row r="56" spans="1:7" x14ac:dyDescent="0.25">
      <c r="F56" s="35"/>
      <c r="G56" s="35"/>
    </row>
    <row r="57" spans="1:7" x14ac:dyDescent="0.25">
      <c r="F57" s="35"/>
      <c r="G57" s="35"/>
    </row>
    <row r="58" spans="1:7" x14ac:dyDescent="0.25">
      <c r="F58" s="35"/>
      <c r="G58" s="35"/>
    </row>
    <row r="59" spans="1:7" x14ac:dyDescent="0.25">
      <c r="F59" s="35"/>
      <c r="G59" s="35"/>
    </row>
    <row r="60" spans="1:7" x14ac:dyDescent="0.25">
      <c r="F60" s="35"/>
      <c r="G60" s="35"/>
    </row>
    <row r="61" spans="1:7" x14ac:dyDescent="0.25">
      <c r="F61" s="35"/>
      <c r="G61" s="35"/>
    </row>
  </sheetData>
  <sheetProtection algorithmName="SHA-512" hashValue="zBrBgsVXq+TUpjLNTogR8ZkLmOpFmJLK90zjr4a9sX4gOWRp2x9LUmr4s/bHFpzfFRk6CVVbK/Q2rUGCgHCVSQ==" saltValue="rjZzbXRahHJBckkf5RtfIg=="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Data Sci - Online</vt:lpstr>
      <vt:lpstr>All Other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2023-03-07T18:21:21Z</dcterms:modified>
</cp:coreProperties>
</file>