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fileSharing readOnlyRecommended="1"/>
  <workbookPr/>
  <mc:AlternateContent xmlns:mc="http://schemas.openxmlformats.org/markup-compatibility/2006">
    <mc:Choice Requires="x15">
      <x15ac:absPath xmlns:x15ac="http://schemas.microsoft.com/office/spreadsheetml/2010/11/ac" url="R:\Financial Aid\Communication\2425\Billing Worksheets\"/>
    </mc:Choice>
  </mc:AlternateContent>
  <xr:revisionPtr revIDLastSave="0" documentId="13_ncr:1_{173CE8C6-755A-4D51-AE34-C35678E21D67}" xr6:coauthVersionLast="47" xr6:coauthVersionMax="47" xr10:uidLastSave="{00000000-0000-0000-0000-000000000000}"/>
  <workbookProtection workbookAlgorithmName="SHA-512" workbookHashValue="k3Bm4UfXkhHu1zatldC11wKwD2pFCIZjg36d8LXTtAZFlWa4fH9dEhDiEG+QyMzfLh3RTO02TRDqsR49bhMP1w==" workbookSaltValue="ipj4SoL8KgddOKnvhTvemw==" workbookSpinCount="100000" lockStructure="1"/>
  <bookViews>
    <workbookView xWindow="3195" yWindow="1935" windowWidth="23010" windowHeight="12360" tabRatio="721" activeTab="5" xr2:uid="{00000000-000D-0000-FFFF-FFFF00000000}"/>
  </bookViews>
  <sheets>
    <sheet name="Worksheets Home" sheetId="4" r:id="rId1"/>
    <sheet name="BA" sheetId="30" r:id="rId2"/>
    <sheet name="Master's" sheetId="32" r:id="rId3"/>
    <sheet name="Denver MBA" sheetId="33" r:id="rId4"/>
    <sheet name="PMBA" sheetId="14" r:id="rId5"/>
    <sheet name="EMBA" sheetId="13" r:id="rId6"/>
    <sheet name="MBA@Denver" sheetId="15" r:id="rId7"/>
    <sheet name="Executive PhD" sheetId="34" r:id="rId8"/>
    <sheet name="Data1" sheetId="31" state="hidden" r:id="rId9"/>
  </sheets>
  <definedNames>
    <definedName name="Credits" localSheetId="3">#REF!</definedName>
    <definedName name="Credits" localSheetId="7">#REF!</definedName>
    <definedName name="Cred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2" i="13" l="1"/>
  <c r="M22" i="13"/>
  <c r="K22" i="13"/>
  <c r="I22" i="13"/>
  <c r="O23" i="13"/>
  <c r="M23" i="13"/>
  <c r="K23" i="13"/>
  <c r="I23" i="13"/>
  <c r="O20" i="13"/>
  <c r="M20" i="13"/>
  <c r="K20" i="13"/>
  <c r="I20" i="13"/>
  <c r="O19" i="13"/>
  <c r="M19" i="13"/>
  <c r="K19" i="13"/>
  <c r="I19" i="13"/>
  <c r="O21" i="13"/>
  <c r="M21" i="13"/>
  <c r="K21" i="13"/>
  <c r="I21" i="13"/>
  <c r="M15" i="33"/>
  <c r="K15" i="33"/>
  <c r="M15" i="34"/>
  <c r="K15" i="34"/>
  <c r="B33" i="34"/>
  <c r="M14" i="13"/>
  <c r="I14" i="13"/>
  <c r="I15" i="30"/>
  <c r="O15" i="13"/>
  <c r="M15" i="13"/>
  <c r="K15" i="13"/>
  <c r="I15" i="13"/>
  <c r="O13" i="13"/>
  <c r="M13" i="13"/>
  <c r="K13" i="13"/>
  <c r="I13" i="13"/>
  <c r="O12" i="13"/>
  <c r="M12" i="13"/>
  <c r="K12" i="13"/>
  <c r="I12" i="13"/>
  <c r="B30" i="13"/>
  <c r="M13" i="34" l="1"/>
  <c r="K13" i="34"/>
  <c r="I13" i="34"/>
  <c r="G27" i="34"/>
  <c r="M26" i="34"/>
  <c r="K26" i="34"/>
  <c r="I26" i="34"/>
  <c r="M25" i="34"/>
  <c r="K25" i="34"/>
  <c r="I25" i="34"/>
  <c r="M24" i="34"/>
  <c r="K24" i="34"/>
  <c r="I24" i="34"/>
  <c r="M23" i="34"/>
  <c r="K23" i="34"/>
  <c r="I23" i="34"/>
  <c r="M22" i="34"/>
  <c r="K22" i="34"/>
  <c r="I22" i="34"/>
  <c r="M18" i="34"/>
  <c r="K18" i="34"/>
  <c r="I18" i="34"/>
  <c r="M17" i="34"/>
  <c r="I17" i="34"/>
  <c r="M16" i="34"/>
  <c r="K16" i="34"/>
  <c r="I16" i="34"/>
  <c r="I15" i="34"/>
  <c r="G15" i="34" s="1"/>
  <c r="O13" i="14"/>
  <c r="M13" i="14"/>
  <c r="K13" i="14"/>
  <c r="I13" i="14"/>
  <c r="O10" i="14"/>
  <c r="M10" i="14"/>
  <c r="K10" i="14"/>
  <c r="I10" i="14"/>
  <c r="K13" i="33"/>
  <c r="M13" i="33"/>
  <c r="I15" i="33"/>
  <c r="I16" i="33"/>
  <c r="K16" i="33"/>
  <c r="M16" i="33"/>
  <c r="I18" i="33"/>
  <c r="K18" i="33"/>
  <c r="M18" i="33"/>
  <c r="B33" i="33"/>
  <c r="I13" i="33"/>
  <c r="N12" i="32"/>
  <c r="N15" i="32"/>
  <c r="L15" i="32"/>
  <c r="J15" i="32"/>
  <c r="N13" i="32"/>
  <c r="L13" i="32"/>
  <c r="J13" i="32"/>
  <c r="L12" i="32"/>
  <c r="J12" i="32"/>
  <c r="N10" i="32"/>
  <c r="L10" i="32"/>
  <c r="J10" i="32"/>
  <c r="M15" i="30"/>
  <c r="K15" i="30"/>
  <c r="G18" i="34" l="1"/>
  <c r="G17" i="34"/>
  <c r="G24" i="34"/>
  <c r="K19" i="34"/>
  <c r="K28" i="34"/>
  <c r="G25" i="34"/>
  <c r="M28" i="34"/>
  <c r="I28" i="34"/>
  <c r="M19" i="34"/>
  <c r="G16" i="34"/>
  <c r="G13" i="34"/>
  <c r="I19" i="34"/>
  <c r="M30" i="34" l="1"/>
  <c r="K30" i="34"/>
  <c r="G19" i="34"/>
  <c r="G28" i="34"/>
  <c r="I30" i="34"/>
  <c r="G30" i="34" l="1"/>
  <c r="N20" i="32"/>
  <c r="L20" i="32"/>
  <c r="J20" i="32"/>
  <c r="N22" i="32"/>
  <c r="L22" i="32"/>
  <c r="J22" i="32"/>
  <c r="N19" i="32"/>
  <c r="L19" i="32"/>
  <c r="J19" i="32"/>
  <c r="M26" i="33"/>
  <c r="K26" i="33"/>
  <c r="I26" i="33"/>
  <c r="M25" i="33"/>
  <c r="K25" i="33"/>
  <c r="I25" i="33"/>
  <c r="O21" i="14"/>
  <c r="M21" i="14"/>
  <c r="K21" i="14"/>
  <c r="I21" i="14"/>
  <c r="O20" i="14"/>
  <c r="M20" i="14"/>
  <c r="K20" i="14"/>
  <c r="I20" i="14"/>
  <c r="G24" i="13"/>
  <c r="G20" i="14" l="1"/>
  <c r="G25" i="33"/>
  <c r="I14" i="30"/>
  <c r="O18" i="15"/>
  <c r="M18" i="15"/>
  <c r="K18" i="15"/>
  <c r="I18" i="15"/>
  <c r="O17" i="15"/>
  <c r="M17" i="15"/>
  <c r="K17" i="15"/>
  <c r="I17" i="15"/>
  <c r="O10" i="15"/>
  <c r="M10" i="15"/>
  <c r="K10" i="15"/>
  <c r="I10" i="15"/>
  <c r="O19" i="14"/>
  <c r="M19" i="14"/>
  <c r="K19" i="14"/>
  <c r="I19" i="14"/>
  <c r="G27" i="33"/>
  <c r="M24" i="33"/>
  <c r="K24" i="33"/>
  <c r="I24" i="33"/>
  <c r="M23" i="33"/>
  <c r="K23" i="33"/>
  <c r="I23" i="33"/>
  <c r="M22" i="33"/>
  <c r="K22" i="33"/>
  <c r="I22" i="33"/>
  <c r="M17" i="33"/>
  <c r="I17" i="33"/>
  <c r="K19" i="33" l="1"/>
  <c r="K28" i="33"/>
  <c r="M28" i="33"/>
  <c r="G17" i="33"/>
  <c r="M19" i="33"/>
  <c r="G24" i="33"/>
  <c r="G18" i="33"/>
  <c r="I28" i="33"/>
  <c r="I19" i="33"/>
  <c r="G16" i="33"/>
  <c r="G15" i="33"/>
  <c r="G13" i="33"/>
  <c r="K30" i="33" l="1"/>
  <c r="G28" i="33"/>
  <c r="M30" i="33"/>
  <c r="G19" i="33"/>
  <c r="I30" i="33"/>
  <c r="G30" i="33" l="1"/>
  <c r="N21" i="32"/>
  <c r="L21" i="32"/>
  <c r="J21" i="32"/>
  <c r="M22" i="30"/>
  <c r="K22" i="30"/>
  <c r="I22" i="30"/>
  <c r="M21" i="30"/>
  <c r="K21" i="30"/>
  <c r="I21" i="30"/>
  <c r="O11" i="15" l="1"/>
  <c r="M11" i="15"/>
  <c r="K11" i="15"/>
  <c r="I11" i="15"/>
  <c r="M12" i="14"/>
  <c r="I12" i="14"/>
  <c r="O11" i="14"/>
  <c r="M11" i="14"/>
  <c r="K11" i="14"/>
  <c r="I11" i="14"/>
  <c r="G18" i="15" l="1"/>
  <c r="G17" i="15"/>
  <c r="G22" i="13"/>
  <c r="G21" i="13"/>
  <c r="G19" i="14"/>
  <c r="G25" i="13" l="1"/>
  <c r="N14" i="32"/>
  <c r="J14" i="32"/>
  <c r="J23" i="32" l="1"/>
  <c r="J25" i="32" s="1"/>
  <c r="L23" i="32"/>
  <c r="L25" i="32" s="1"/>
  <c r="N23" i="32"/>
  <c r="N25" i="32" s="1"/>
  <c r="H24" i="32"/>
  <c r="H13" i="32" l="1"/>
  <c r="N16" i="32"/>
  <c r="H14" i="32"/>
  <c r="H15" i="32"/>
  <c r="L16" i="32"/>
  <c r="H12" i="32"/>
  <c r="H10" i="32"/>
  <c r="H21" i="32"/>
  <c r="H22" i="32"/>
  <c r="J16" i="32"/>
  <c r="H25" i="32" l="1"/>
  <c r="N27" i="32"/>
  <c r="L27" i="32"/>
  <c r="H16" i="32"/>
  <c r="J27" i="32"/>
  <c r="H27" i="32" l="1"/>
  <c r="M14" i="30" l="1"/>
  <c r="M13" i="30"/>
  <c r="K13" i="30"/>
  <c r="I13" i="30"/>
  <c r="M12" i="30"/>
  <c r="K12" i="30"/>
  <c r="I12" i="30"/>
  <c r="M10" i="30"/>
  <c r="K10" i="30"/>
  <c r="I10" i="30"/>
  <c r="G22" i="30" l="1"/>
  <c r="G21" i="30"/>
  <c r="G24" i="30" l="1"/>
  <c r="M23" i="30"/>
  <c r="K23" i="30"/>
  <c r="I23" i="30"/>
  <c r="M20" i="30"/>
  <c r="K20" i="30"/>
  <c r="I20" i="30"/>
  <c r="M19" i="30"/>
  <c r="K19" i="30"/>
  <c r="I19" i="30"/>
  <c r="M16" i="30" l="1"/>
  <c r="G14" i="30"/>
  <c r="G15" i="30"/>
  <c r="K16" i="30"/>
  <c r="I16" i="30"/>
  <c r="G13" i="30"/>
  <c r="G12" i="30"/>
  <c r="M25" i="30"/>
  <c r="G25" i="30"/>
  <c r="G10" i="30"/>
  <c r="M27" i="30" l="1"/>
  <c r="G16" i="30"/>
  <c r="G27" i="30" s="1"/>
  <c r="I25" i="30"/>
  <c r="I27" i="30" s="1"/>
  <c r="K25" i="30"/>
  <c r="K27" i="30" s="1"/>
  <c r="O19" i="15" l="1"/>
  <c r="O16" i="15"/>
  <c r="O15" i="15"/>
  <c r="M19" i="15"/>
  <c r="M16" i="15"/>
  <c r="M15" i="15"/>
  <c r="K19" i="15"/>
  <c r="K16" i="15"/>
  <c r="K15" i="15"/>
  <c r="I19" i="15"/>
  <c r="I16" i="15"/>
  <c r="I15" i="15"/>
  <c r="O18" i="14"/>
  <c r="M18" i="14"/>
  <c r="K18" i="14"/>
  <c r="O17" i="14"/>
  <c r="M17" i="14"/>
  <c r="K17" i="14"/>
  <c r="O25" i="13" l="1"/>
  <c r="I25" i="13"/>
  <c r="K25" i="13"/>
  <c r="M25" i="13"/>
  <c r="G20" i="15"/>
  <c r="M21" i="15" l="1"/>
  <c r="O12" i="15"/>
  <c r="M12" i="15"/>
  <c r="K12" i="15"/>
  <c r="G11" i="15"/>
  <c r="I12" i="15"/>
  <c r="G10" i="15"/>
  <c r="G21" i="15"/>
  <c r="I18" i="14"/>
  <c r="I17" i="14"/>
  <c r="G22" i="14"/>
  <c r="O21" i="15" l="1"/>
  <c r="O23" i="15" s="1"/>
  <c r="M23" i="15"/>
  <c r="M23" i="14"/>
  <c r="G14" i="13"/>
  <c r="G15" i="13"/>
  <c r="G23" i="14"/>
  <c r="I21" i="15"/>
  <c r="I23" i="15" s="1"/>
  <c r="G12" i="15"/>
  <c r="G23" i="15" s="1"/>
  <c r="K21" i="15"/>
  <c r="K23" i="15" s="1"/>
  <c r="G12" i="14"/>
  <c r="G13" i="14"/>
  <c r="O14" i="14"/>
  <c r="K14" i="14"/>
  <c r="M14" i="14"/>
  <c r="G10" i="14"/>
  <c r="I14" i="14"/>
  <c r="G11" i="14"/>
  <c r="K16" i="13"/>
  <c r="K27" i="13" s="1"/>
  <c r="O16" i="13"/>
  <c r="O27" i="13" s="1"/>
  <c r="M16" i="13"/>
  <c r="M27" i="13" s="1"/>
  <c r="I16" i="13"/>
  <c r="I27" i="13" s="1"/>
  <c r="K23" i="14" l="1"/>
  <c r="K25" i="14" s="1"/>
  <c r="I23" i="14"/>
  <c r="I25" i="14" s="1"/>
  <c r="O23" i="14"/>
  <c r="O25" i="14" s="1"/>
  <c r="G14" i="14"/>
  <c r="G25" i="14" s="1"/>
  <c r="M25" i="14"/>
  <c r="G12" i="13"/>
  <c r="G13" i="13"/>
  <c r="G16" i="13" l="1"/>
  <c r="G27" i="13" s="1"/>
</calcChain>
</file>

<file path=xl/sharedStrings.xml><?xml version="1.0" encoding="utf-8"?>
<sst xmlns="http://schemas.openxmlformats.org/spreadsheetml/2006/main" count="448" uniqueCount="125">
  <si>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</si>
  <si>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</si>
  <si>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</si>
  <si>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</si>
  <si>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</si>
  <si>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</si>
  <si>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</si>
  <si>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</si>
  <si>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</si>
  <si>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Other Assistance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</si>
  <si>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</si>
  <si>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</si>
  <si>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</si>
  <si>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</si>
  <si>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</si>
  <si>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</si>
  <si>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</si>
  <si>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</si>
  <si>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rPr>
        <vertAlign val="superscript"/>
        <sz val="11"/>
        <color theme="1"/>
        <rFont val="Calibri"/>
        <family val="2"/>
        <scheme val="minor"/>
      </rPr>
      <t>2</t>
    </r>
    <r>
      <rPr>
        <sz val="11"/>
        <color theme="1"/>
        <rFont val="Calibri"/>
        <family val="2"/>
        <scheme val="minor"/>
      </rPr>
      <t>Technology fees are $4 per credit. If you will be enrolled in less than 4 credits, you will not be eligible for federal student loans.</t>
    </r>
  </si>
  <si>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</si>
  <si>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</si>
  <si>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What is the starting term for your cohort?</t>
  </si>
  <si>
    <t>Health Insurance</t>
  </si>
  <si>
    <t>Other Annual Assistance</t>
  </si>
  <si>
    <t>Payment(s) Made and/or Employer Reimbursements</t>
  </si>
  <si>
    <t>Denver MBA</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</si>
  <si>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</si>
  <si>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</si>
  <si>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</si>
  <si>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</si>
  <si>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</si>
  <si>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</si>
  <si>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</si>
  <si>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</si>
  <si>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</si>
  <si>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</si>
  <si>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</si>
  <si>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</si>
  <si>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</si>
  <si>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</si>
  <si>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</si>
  <si>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</si>
  <si>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</si>
  <si>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EMBA</t>
  </si>
  <si>
    <t>not enrolled</t>
  </si>
  <si>
    <t>How many credits will you take each quarter?</t>
  </si>
  <si>
    <t>Tech Fee</t>
  </si>
  <si>
    <t>Executive PhD</t>
  </si>
  <si>
    <t>Student Fee</t>
  </si>
  <si>
    <t>Denver MBA Full-Time Program</t>
  </si>
  <si>
    <t>Professional MBA Program</t>
  </si>
  <si>
    <t>MBA@ Denver Online Program</t>
  </si>
  <si>
    <t>Executive PhD Program</t>
  </si>
  <si>
    <t>21 credits</t>
  </si>
  <si>
    <t>22 credits</t>
  </si>
  <si>
    <t>Master's in Business Analytics Program</t>
  </si>
  <si>
    <t>All Other Specialized Master's Programs</t>
  </si>
  <si>
    <t>Will you enroll in DU's Health Insurance Plan?</t>
  </si>
  <si>
    <t>Technology fees are $4 per credit. If you will be enrolled in less than 4 credits, you will not be eligible for federal student loans.</t>
  </si>
  <si>
    <r>
      <rPr>
        <b/>
        <i/>
        <sz val="11"/>
        <color rgb="FF000000"/>
        <rFont val="Calibri"/>
        <family val="2"/>
        <scheme val="minor"/>
      </rPr>
      <t xml:space="preserve">Note: </t>
    </r>
    <r>
      <rPr>
        <i/>
        <sz val="11"/>
        <color rgb="FF000000"/>
        <rFont val="Calibri"/>
        <family val="2"/>
        <scheme val="minor"/>
      </rPr>
      <t xml:space="preserve">If you are in the Master's of Business Analytics program, please use the worksheet on the previous tab. </t>
    </r>
  </si>
  <si>
    <t>Business Analytics</t>
  </si>
  <si>
    <t>PMBA &amp; 2U</t>
  </si>
  <si>
    <t>Executive MBA Program</t>
  </si>
  <si>
    <t>Choose Your Program:</t>
  </si>
  <si>
    <r>
      <rPr>
        <vertAlign val="superscript"/>
        <sz val="11"/>
        <color theme="1"/>
        <rFont val="Calibri"/>
        <family val="2"/>
        <scheme val="minor"/>
      </rPr>
      <t>4</t>
    </r>
    <r>
      <rPr>
        <sz val="11"/>
        <color theme="1"/>
        <rFont val="Calibri"/>
        <family val="2"/>
        <scheme val="minor"/>
      </rPr>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r>
  </si>
  <si>
    <t>Tuition</t>
  </si>
  <si>
    <t>WINTER 2024</t>
  </si>
  <si>
    <t>SPRING 2024</t>
  </si>
  <si>
    <t>FALL 2023</t>
  </si>
  <si>
    <t>SUMMER 2024</t>
  </si>
  <si>
    <t>2023 Fall Quarter</t>
  </si>
  <si>
    <t>2023 Start</t>
  </si>
  <si>
    <r>
      <t xml:space="preserve">2024-25 Estimated Billing Worksheets
</t>
    </r>
    <r>
      <rPr>
        <b/>
        <i/>
        <sz val="16"/>
        <color theme="1"/>
        <rFont val="Calibri"/>
        <family val="2"/>
        <scheme val="minor"/>
      </rPr>
      <t>Daniels College of Business</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</si>
  <si>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2024-2025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</si>
  <si>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2024-25 Estimated Billing Worksheet
Daniels College of Business MS in Business Analytics Program</t>
  </si>
  <si>
    <t>FALL 2024:</t>
  </si>
  <si>
    <t>WINTER 2025:</t>
  </si>
  <si>
    <t>SPRING 2025:</t>
  </si>
  <si>
    <t>FALL 2024</t>
  </si>
  <si>
    <t>WINTER 2025</t>
  </si>
  <si>
    <t>SPRING 2025</t>
  </si>
  <si>
    <r>
      <t>1</t>
    </r>
    <r>
      <rPr>
        <sz val="11"/>
        <color theme="1"/>
        <rFont val="Calibri"/>
        <family val="2"/>
        <scheme val="minor"/>
      </rPr>
      <t>Tuition for 2024-2025 academic year is $1,219 per credit.</t>
    </r>
  </si>
  <si>
    <t>select</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</si>
  <si>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</si>
  <si>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</si>
  <si>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</si>
  <si>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2024-25 Estimated Billing Worksheet
Most Specialized Master's Programs</t>
  </si>
  <si>
    <t>Tuition for the 2024-2025 academic year is $1,668 per credit.</t>
  </si>
  <si>
    <t>This worksheet automatically deducts the 1.057% origination fee from the Direct Unsubsidized loan amount.  Most students who submit the FAFSA
are eligible to borrow up to $20,500 in an unsubsidized loan per academic year.</t>
  </si>
  <si>
    <t>Master's Programs</t>
  </si>
  <si>
    <t>2024-25 Estimated Billing Worksheet
Denver MBA Full-Time Program</t>
  </si>
  <si>
    <t>2024 Fall Quarter</t>
  </si>
  <si>
    <t>2024 Start</t>
  </si>
  <si>
    <t>Denver MBA Tuition:</t>
  </si>
  <si>
    <t>The tuition rate for students who started in the fall of 2023 is $1,200 per credit.</t>
  </si>
  <si>
    <t>The tuition rate for students who started in the fall of 2024 is $1,236 per credit.</t>
  </si>
  <si>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</si>
  <si>
    <t>2024-25 Estimated Billing Worksheet
Professional MBA Program</t>
  </si>
  <si>
    <t>SUMMER 2025:</t>
  </si>
  <si>
    <t>SUMMER 2025</t>
  </si>
  <si>
    <r>
      <t>1</t>
    </r>
    <r>
      <rPr>
        <sz val="11"/>
        <color theme="1"/>
        <rFont val="Calibri"/>
        <family val="2"/>
        <scheme val="minor"/>
      </rPr>
      <t>The tuition rate for the 2024-25 academic year is $1,383 per credit.</t>
    </r>
  </si>
  <si>
    <t>2024-25 Estimated Billing Worksheet
Executive MBA Program</t>
  </si>
  <si>
    <t>2024-25 Estimated Billing Worksheet
MBA@Denver Online Program</t>
  </si>
  <si>
    <t>2425 Start</t>
  </si>
  <si>
    <t>2324 Start</t>
  </si>
  <si>
    <t>EMBA Tuition:</t>
  </si>
  <si>
    <t>The tuition rate for students who started in the fall of 2023 or spring of 2024 is $1,660 per credit.</t>
  </si>
  <si>
    <t>The tuition rate for students who started in the fall of 2024 or spring of 2025 is $1,743 per credit.</t>
  </si>
  <si>
    <t>2023 Fall or 2024 Spring Quarter</t>
  </si>
  <si>
    <t>2024 Fall or 2025 Spring Quarter</t>
  </si>
  <si>
    <t>This worksheet automatically deducts the 1.057% origination fee from the Direct Unsubsidized loan amount. Most students who submit the FAFSA are eligible to 
borrow up to $20,500 in an unsubsidized loan per academic year.</t>
  </si>
  <si>
    <r>
      <rPr>
        <vertAlign val="superscript"/>
        <sz val="11"/>
        <color theme="1"/>
        <rFont val="Calibri"/>
        <family val="2"/>
        <scheme val="minor"/>
      </rPr>
      <t>4</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</si>
  <si>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r>
      <rPr>
        <vertAlign val="superscript"/>
        <sz val="11"/>
        <color theme="1"/>
        <rFont val="Calibri"/>
        <family val="2"/>
        <scheme val="minor"/>
      </rPr>
      <t>5</t>
    </r>
    <r>
      <rPr>
        <sz val="11"/>
        <color theme="1"/>
        <rFont val="Calibri"/>
        <family val="2"/>
        <scheme val="minor"/>
      </rPr>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r>
  </si>
  <si>
    <r>
      <rPr>
        <vertAlign val="superscript"/>
        <sz val="11"/>
        <color theme="1"/>
        <rFont val="Calibri"/>
        <family val="2"/>
        <scheme val="minor"/>
      </rPr>
      <t>3</t>
    </r>
    <r>
      <rPr>
        <sz val="11"/>
        <color theme="1"/>
        <rFont val="Calibri"/>
        <family val="2"/>
        <scheme val="minor"/>
      </rPr>
      <t xml:space="preserve">The Health and Counseling Fee is $241 per quarter, and is </t>
    </r>
    <r>
      <rPr>
        <i/>
        <sz val="11"/>
        <color theme="1"/>
        <rFont val="Calibri"/>
        <family val="2"/>
        <scheme val="minor"/>
      </rPr>
      <t>mandatory</t>
    </r>
    <r>
      <rPr>
        <sz val="11"/>
        <color theme="1"/>
        <rFont val="Calibri"/>
        <family val="2"/>
        <scheme val="minor"/>
      </rPr>
      <t xml:space="preserve"> for new students who start their program in the fall of 2024 or later and are
   enrolled in 8 or more credits. Students who started prior to fall 2024 can waive this fee (just delete the amount in these fields if you plan to waive it).</t>
    </r>
  </si>
  <si>
    <r>
      <t xml:space="preserve">The Health and Counseling Fee is $241 per quarter, and is </t>
    </r>
    <r>
      <rPr>
        <i/>
        <sz val="11"/>
        <color theme="1"/>
        <rFont val="Calibri"/>
        <family val="2"/>
        <scheme val="minor"/>
      </rPr>
      <t>mandatory</t>
    </r>
    <r>
      <rPr>
        <sz val="11"/>
        <color theme="1"/>
        <rFont val="Calibri"/>
        <family val="2"/>
        <scheme val="minor"/>
      </rPr>
      <t xml:space="preserve"> for new students who start their program in the fall of 2024 or later and are enrolled
in 8 or more credits. Students who started prior to fall 2024 can waive this fee (just delete the amount in these fields if you plan to waive it).</t>
    </r>
  </si>
  <si>
    <r>
      <t xml:space="preserve">The Health and Counseling Fee is $241 per quarter, and </t>
    </r>
    <r>
      <rPr>
        <i/>
        <sz val="11"/>
        <color theme="1"/>
        <rFont val="Calibri"/>
        <family val="2"/>
        <scheme val="minor"/>
      </rPr>
      <t>mandatory</t>
    </r>
    <r>
      <rPr>
        <sz val="11"/>
        <color theme="1"/>
        <rFont val="Calibri"/>
        <family val="2"/>
        <scheme val="minor"/>
      </rPr>
      <t xml:space="preserve"> for new students who start their program in the fall of 2024 or later and are enrolled
in 8 or more credits. Students who started prior to fall 2024 can waive this fee (just delete the amount in these fields if you plan to waive it).</t>
    </r>
  </si>
  <si>
    <r>
      <rPr>
        <vertAlign val="superscript"/>
        <sz val="11"/>
        <color theme="1"/>
        <rFont val="Calibri"/>
        <family val="2"/>
        <scheme val="minor"/>
      </rPr>
      <t>3</t>
    </r>
    <r>
      <rPr>
        <sz val="11"/>
        <color theme="1"/>
        <rFont val="Calibri"/>
        <family val="2"/>
        <scheme val="minor"/>
      </rPr>
      <t xml:space="preserve">The Health and Counseling Fee is $241 per quarter, and is </t>
    </r>
    <r>
      <rPr>
        <i/>
        <sz val="11"/>
        <color theme="1"/>
        <rFont val="Calibri"/>
        <family val="2"/>
        <scheme val="minor"/>
      </rPr>
      <t>mandatory</t>
    </r>
    <r>
      <rPr>
        <sz val="11"/>
        <color theme="1"/>
        <rFont val="Calibri"/>
        <family val="2"/>
        <scheme val="minor"/>
      </rPr>
      <t xml:space="preserve"> for new students who started an on-campus program in the fall of 2024 or later
   and are enrolled in 8 or more credits. Students in online programs are not charged this fee, and those who started prior to fall 2024 can waive it.
   (Just delete the amount in these fields if you plan to waive it or are enrolled in the online MBA program).</t>
    </r>
  </si>
  <si>
    <r>
      <rPr>
        <vertAlign val="superscript"/>
        <sz val="11"/>
        <color theme="1"/>
        <rFont val="Calibri"/>
        <family val="2"/>
        <scheme val="minor"/>
      </rPr>
      <t>4</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</si>
  <si>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r>
      <rPr>
        <vertAlign val="superscript"/>
        <sz val="11"/>
        <color theme="1"/>
        <rFont val="Calibri"/>
        <family val="2"/>
        <scheme val="minor"/>
      </rPr>
      <t>5</t>
    </r>
    <r>
      <rPr>
        <sz val="11"/>
        <color theme="1"/>
        <rFont val="Calibri"/>
        <family val="2"/>
        <scheme val="minor"/>
      </rPr>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r>
  </si>
  <si>
    <r>
      <t xml:space="preserve">The Health and Counseling Fee is $241 per quarter, and is </t>
    </r>
    <r>
      <rPr>
        <i/>
        <sz val="11"/>
        <color theme="1"/>
        <rFont val="Calibri"/>
        <family val="2"/>
        <scheme val="minor"/>
      </rPr>
      <t>mandatory</t>
    </r>
    <r>
      <rPr>
        <sz val="11"/>
        <color theme="1"/>
        <rFont val="Calibri"/>
        <family val="2"/>
        <scheme val="minor"/>
      </rPr>
      <t xml:space="preserve"> for new students who start their program in the fall of 2024 or later and are enrolled in 8 or more credits. Students who started prior to fall 2024 can waive this fee (just delete the amount in these fields if you plan to waive it).</t>
    </r>
  </si>
  <si>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</si>
  <si>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t>Exec PhD Tuition:</t>
  </si>
  <si>
    <t>The tuition rate for students who started in the fall of 2023 is $1,568 per credit.</t>
  </si>
  <si>
    <t>The tuition rate for students who started in the fall of 2024 is $1,623 per credit.</t>
  </si>
  <si>
    <t>2024-25 Estimated Billing Worksheet
Executive PhD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</si>
</sst>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i/>
      <sz val="11"/>
      <color rgb="FF000000"/>
      <name val="Calibri"/>
      <family val="2"/>
      <scheme val="minor"/>
    </font>
    <font>
      <b/>
      <i/>
      <sz val="11"/>
      <color rgb="FF000000"/>
      <name val="Calibri"/>
      <family val="2"/>
      <scheme val="minor"/>
    </font>
    <font>
      <u/>
      <vertAlign val="superscript"/>
      <sz val="11"/>
      <color theme="10"/>
      <name val="Calibri"/>
      <family val="2"/>
      <scheme val="minor"/>
    </font>
    <font>
      <i/>
      <sz val="11"/>
      <color theme="1"/>
      <name val="Calibri"/>
      <family val="2"/>
      <scheme val="minor"/>
    </font>
    <font>
      <sz val="8"/>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s>
  <borders count="16">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style="dashed">
        <color auto="1"/>
      </left>
      <right/>
      <top style="dashed">
        <color auto="1"/>
      </top>
      <bottom style="dashed">
        <color auto="1"/>
      </bottom>
      <diagonal/>
    </border>
    <border>
      <left/>
      <right/>
      <top style="dashed">
        <color auto="1"/>
      </top>
      <bottom style="dashed">
        <color auto="1"/>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right style="dotted">
        <color auto="1"/>
      </right>
      <top style="dashed">
        <color auto="1"/>
      </top>
      <bottom style="dashed">
        <color auto="1"/>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86">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0" fillId="0" borderId="3" xfId="0" applyBorder="1"/>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0" fillId="2" borderId="10" xfId="1" applyFont="1" applyFill="1" applyBorder="1" applyProtection="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44" fontId="0" fillId="0" borderId="3" xfId="1" applyFont="1" applyFill="1" applyBorder="1"/>
    <xf numFmtId="44" fontId="0" fillId="3" borderId="3" xfId="1" applyFont="1" applyFill="1" applyBorder="1" applyProtection="1">
      <protection locked="0"/>
    </xf>
    <xf numFmtId="44" fontId="0" fillId="0" borderId="0" xfId="1" applyFont="1" applyBorder="1"/>
    <xf numFmtId="0" fontId="0" fillId="0" borderId="0" xfId="0" applyAlignment="1">
      <alignment horizontal="left"/>
    </xf>
    <xf numFmtId="44" fontId="0" fillId="0" borderId="0" xfId="1" applyFont="1" applyFill="1" applyBorder="1"/>
    <xf numFmtId="44" fontId="0" fillId="3" borderId="0" xfId="0" applyNumberFormat="1" applyFill="1"/>
    <xf numFmtId="0" fontId="2" fillId="0" borderId="0" xfId="0" applyFont="1" applyAlignment="1">
      <alignment horizontal="right"/>
    </xf>
    <xf numFmtId="0" fontId="0" fillId="0" borderId="0" xfId="0" applyAlignment="1">
      <alignment horizontal="left" indent="2"/>
    </xf>
    <xf numFmtId="0" fontId="2" fillId="0" borderId="1" xfId="0" applyFont="1" applyBorder="1"/>
    <xf numFmtId="44" fontId="2" fillId="0" borderId="1" xfId="1" applyFont="1" applyBorder="1"/>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11" fillId="0" borderId="0" xfId="0" applyFont="1" applyAlignment="1">
      <alignment horizontal="left" vertical="center" wrapText="1" indent="1"/>
    </xf>
    <xf numFmtId="0" fontId="5" fillId="0" borderId="0" xfId="0" applyFont="1" applyAlignment="1">
      <alignment horizontal="right" vertical="top"/>
    </xf>
    <xf numFmtId="0" fontId="5" fillId="0" borderId="0" xfId="0" applyFont="1" applyAlignment="1">
      <alignment horizontal="right"/>
    </xf>
    <xf numFmtId="0" fontId="0" fillId="0" borderId="0" xfId="0" applyAlignment="1">
      <alignment wrapText="1"/>
    </xf>
    <xf numFmtId="0" fontId="5" fillId="0" borderId="0" xfId="0" applyFont="1"/>
    <xf numFmtId="44" fontId="0" fillId="2" borderId="12" xfId="1" applyFont="1" applyFill="1" applyBorder="1" applyProtection="1">
      <protection locked="0"/>
    </xf>
    <xf numFmtId="0" fontId="15" fillId="0" borderId="0" xfId="0" applyFont="1" applyAlignment="1">
      <alignment horizontal="left" vertical="top" indent="1"/>
    </xf>
    <xf numFmtId="0" fontId="11"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2" fillId="0" borderId="13" xfId="1" applyFont="1" applyBorder="1" applyAlignment="1">
      <alignment horizontal="center"/>
    </xf>
    <xf numFmtId="0" fontId="3" fillId="0" borderId="0" xfId="0" applyFont="1" applyAlignment="1">
      <alignment horizontal="right" vertical="top" wrapText="1"/>
    </xf>
    <xf numFmtId="0" fontId="3" fillId="0" borderId="0" xfId="0" applyFont="1" applyAlignment="1">
      <alignment horizontal="right" vertical="top"/>
    </xf>
    <xf numFmtId="0" fontId="0" fillId="0" borderId="14" xfId="0" applyBorder="1"/>
    <xf numFmtId="0" fontId="5" fillId="0" borderId="0" xfId="0" applyFont="1" applyAlignment="1">
      <alignment vertical="top"/>
    </xf>
    <xf numFmtId="44" fontId="0" fillId="4" borderId="12" xfId="1" applyFont="1" applyFill="1" applyBorder="1" applyProtection="1">
      <protection locked="0"/>
    </xf>
    <xf numFmtId="44" fontId="0" fillId="4" borderId="12" xfId="0" applyNumberFormat="1" applyFill="1" applyBorder="1" applyProtection="1">
      <protection locked="0"/>
    </xf>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0" fillId="0" borderId="0" xfId="0" applyAlignment="1">
      <alignment horizontal="left"/>
    </xf>
    <xf numFmtId="0" fontId="0" fillId="0" borderId="0" xfId="0" applyAlignment="1">
      <alignment horizontal="left" wrapText="1"/>
    </xf>
    <xf numFmtId="0" fontId="3" fillId="0" borderId="3" xfId="0" applyFont="1" applyBorder="1" applyAlignment="1">
      <alignment horizontal="right" vertical="top" wrapText="1"/>
    </xf>
    <xf numFmtId="0" fontId="5" fillId="0" borderId="0" xfId="0" applyFont="1" applyAlignment="1">
      <alignment horizontal="left" wrapText="1"/>
    </xf>
    <xf numFmtId="0" fontId="11" fillId="0" borderId="0" xfId="0" applyFont="1" applyAlignment="1">
      <alignment horizontal="left" vertical="center" wrapText="1" indent="1"/>
    </xf>
    <xf numFmtId="0" fontId="0" fillId="3" borderId="0" xfId="0" applyFill="1" applyAlignment="1">
      <alignment horizontal="center"/>
    </xf>
    <xf numFmtId="0" fontId="0" fillId="3" borderId="3" xfId="0" applyFill="1" applyBorder="1" applyAlignment="1">
      <alignment horizontal="left"/>
    </xf>
    <xf numFmtId="0" fontId="13" fillId="3" borderId="0" xfId="2" applyFill="1" applyBorder="1" applyAlignment="1">
      <alignment horizontal="left"/>
    </xf>
    <xf numFmtId="0" fontId="13" fillId="3" borderId="11" xfId="2" applyFill="1" applyBorder="1" applyAlignment="1">
      <alignment horizontal="left"/>
    </xf>
    <xf numFmtId="0" fontId="13" fillId="0" borderId="3" xfId="2" applyFill="1" applyBorder="1" applyAlignment="1">
      <alignment horizontal="left"/>
    </xf>
    <xf numFmtId="0" fontId="3" fillId="0" borderId="0" xfId="0" applyFont="1" applyAlignment="1">
      <alignment horizontal="right" vertical="top" wrapText="1"/>
    </xf>
    <xf numFmtId="0" fontId="3" fillId="0" borderId="0" xfId="0" applyFont="1" applyAlignment="1">
      <alignment horizontal="right" vertical="top"/>
    </xf>
    <xf numFmtId="0" fontId="4" fillId="2" borderId="8" xfId="0" applyFont="1" applyFill="1" applyBorder="1" applyAlignment="1" applyProtection="1">
      <alignment horizontal="left" wrapText="1"/>
      <protection locked="0"/>
    </xf>
    <xf numFmtId="0" fontId="4" fillId="2" borderId="9" xfId="0" applyFont="1" applyFill="1" applyBorder="1" applyAlignment="1" applyProtection="1">
      <alignment horizontal="left" wrapText="1"/>
      <protection locked="0"/>
    </xf>
    <xf numFmtId="0" fontId="4" fillId="2" borderId="15" xfId="0" applyFont="1" applyFill="1" applyBorder="1" applyAlignment="1" applyProtection="1">
      <alignment horizontal="left" wrapText="1"/>
      <protection locked="0"/>
    </xf>
    <xf numFmtId="0" fontId="4" fillId="2" borderId="8" xfId="0" applyFont="1" applyFill="1" applyBorder="1" applyAlignment="1" applyProtection="1">
      <alignment horizontal="center" wrapText="1"/>
      <protection locked="0"/>
    </xf>
    <xf numFmtId="0" fontId="4" fillId="2" borderId="9" xfId="0" applyFont="1" applyFill="1" applyBorder="1" applyAlignment="1" applyProtection="1">
      <alignment horizontal="center" wrapText="1"/>
      <protection locked="0"/>
    </xf>
    <xf numFmtId="0" fontId="4" fillId="2" borderId="15" xfId="0" applyFont="1" applyFill="1" applyBorder="1" applyAlignment="1" applyProtection="1">
      <alignment horizontal="center" wrapText="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1850247</xdr:colOff>
      <xdr:row>1</xdr:row>
      <xdr:rowOff>533400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50247" cy="42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695974</xdr:colOff>
      <xdr:row>1</xdr:row>
      <xdr:rowOff>542925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877075" cy="4348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xdr:colOff>
      <xdr:row>1</xdr:row>
      <xdr:rowOff>104760</xdr:rowOff>
    </xdr:from>
    <xdr:ext cx="1828800" cy="423672"/>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6" y="323835"/>
          <a:ext cx="1828800" cy="42367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695974</xdr:colOff>
      <xdr:row>1</xdr:row>
      <xdr:rowOff>542925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877075" cy="4348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108070</xdr:rowOff>
    </xdr:from>
    <xdr:to>
      <xdr:col>3</xdr:col>
      <xdr:colOff>778206</xdr:colOff>
      <xdr:row>1</xdr:row>
      <xdr:rowOff>561975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7145"/>
          <a:ext cx="1959306" cy="4539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108070</xdr:rowOff>
    </xdr:from>
    <xdr:to>
      <xdr:col>3</xdr:col>
      <xdr:colOff>778206</xdr:colOff>
      <xdr:row>1</xdr:row>
      <xdr:rowOff>561975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7145"/>
          <a:ext cx="1959306" cy="4539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737090</xdr:colOff>
      <xdr:row>1</xdr:row>
      <xdr:rowOff>552450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918191" cy="4443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695974</xdr:colOff>
      <xdr:row>1</xdr:row>
      <xdr:rowOff>542925</xdr:rowOff>
    </xdr:to>
    <xdr:pic>
      <xdr:nvPicPr>
        <xdr:cNvPr id="2" name="Picture 1">
          <a:extLst>
            <a:ext uri="{FF2B5EF4-FFF2-40B4-BE49-F238E27FC236}">
              <a16:creationId xmlns:a16="http://schemas.microsoft.com/office/drawing/2014/main" id="{911135CF-A4F2-4656-BCF1-1D542B4951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1430"/>
          <a:ext cx="1920890" cy="4348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7"/>
  <sheetViews>
    <sheetView showGridLines="0" showRowColHeaders="0" showRuler="0" zoomScaleNormal="100" workbookViewId="0"/>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44"/>
    </row>
    <row r="2" spans="1:4" ht="47.25" customHeight="1" x14ac:dyDescent="0.35">
      <c r="B2" s="65" t="s">
        <v>72</v>
      </c>
      <c r="C2" s="66"/>
      <c r="D2" s="66"/>
    </row>
    <row r="3" spans="1:4" ht="8.25" customHeight="1" x14ac:dyDescent="0.25">
      <c r="B3" s="20"/>
      <c r="C3" s="22"/>
      <c r="D3" s="22"/>
    </row>
    <row r="4" spans="1:4" ht="66.75" customHeight="1" x14ac:dyDescent="0.25">
      <c r="B4" s="67" t="s">
        <v>73</v>
      </c>
      <c r="C4" s="67"/>
      <c r="D4" s="67"/>
    </row>
    <row r="5" spans="1:4" ht="21.75" customHeight="1" x14ac:dyDescent="0.25">
      <c r="C5"/>
    </row>
    <row r="6" spans="1:4" ht="27" customHeight="1" x14ac:dyDescent="0.25">
      <c r="B6" s="42" t="s">
        <v>63</v>
      </c>
      <c r="C6"/>
    </row>
    <row r="7" spans="1:4" x14ac:dyDescent="0.25">
      <c r="B7" s="43" t="s">
        <v>55</v>
      </c>
    </row>
    <row r="8" spans="1:4" x14ac:dyDescent="0.25">
      <c r="B8" s="43" t="s">
        <v>56</v>
      </c>
    </row>
    <row r="9" spans="1:4" x14ac:dyDescent="0.25">
      <c r="B9" s="43" t="s">
        <v>49</v>
      </c>
    </row>
    <row r="10" spans="1:4" x14ac:dyDescent="0.25">
      <c r="B10" s="43" t="s">
        <v>50</v>
      </c>
    </row>
    <row r="11" spans="1:4" x14ac:dyDescent="0.25">
      <c r="B11" s="43" t="s">
        <v>62</v>
      </c>
    </row>
    <row r="12" spans="1:4" x14ac:dyDescent="0.25">
      <c r="B12" s="43" t="s">
        <v>51</v>
      </c>
    </row>
    <row r="13" spans="1:4" x14ac:dyDescent="0.25">
      <c r="B13" s="43" t="s">
        <v>52</v>
      </c>
    </row>
    <row r="17" spans="2:4" x14ac:dyDescent="0.25">
      <c r="B17" s="64" t="s">
        <v>14</v>
      </c>
      <c r="C17" s="64"/>
      <c r="D17" s="64"/>
    </row>
  </sheetData>
  <sheetProtection algorithmName="SHA-512" hashValue="Pl+SuhTf6rsrcSmXUq7zDN8cv5iwRo0GJGy8siPaKdssojA23riFTfE7jhWeoEpxYSOPxlW+Di7Yy1iTEfOnNw==" saltValue="00a8+NjDefJtmkKQfgM91Q==" spinCount="100000" sheet="1" selectLockedCells="1"/>
  <mergeCells count="3">
    <mergeCell ref="B17:D17"/>
    <mergeCell ref="B2:D2"/>
    <mergeCell ref="B4:D4"/>
  </mergeCells>
  <hyperlinks>
    <hyperlink ref="B8" location="'Master''s'!A1" display="All Other Specialized Master's Programs" xr:uid="{00000000-0004-0000-0000-000000000000}"/>
    <hyperlink ref="B9" location="'Denver MBA'!A1" display="Denver MBA Full-Time Program" xr:uid="{00000000-0004-0000-0000-000001000000}"/>
    <hyperlink ref="B10" location="PMBA!A1" display="Professional MBA Program" xr:uid="{00000000-0004-0000-0000-000002000000}"/>
    <hyperlink ref="B11" location="EMBA!A1" display="Executive MBA Program" xr:uid="{00000000-0004-0000-0000-000003000000}"/>
    <hyperlink ref="B12" location="'MBA@Denver'!A1" display="MBA@ Denver Online Program" xr:uid="{00000000-0004-0000-0000-000004000000}"/>
    <hyperlink ref="B13" location="'Executive PhD'!A1" display="Executive PhD Program" xr:uid="{00000000-0004-0000-0000-000005000000}"/>
    <hyperlink ref="B7" location="BA!A1" display="Master's in Business Analytics Program" xr:uid="{00000000-0004-0000-0000-000006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7"/>
  <sheetViews>
    <sheetView showGridLines="0" showRowColHeaders="0" showRuler="0" zoomScaleNormal="100" workbookViewId="0">
      <selection activeCell="I6" sqref="I6"/>
    </sheetView>
  </sheetViews>
  <sheetFormatPr defaultColWidth="8.85546875" defaultRowHeight="15" x14ac:dyDescent="0.25"/>
  <cols>
    <col min="1" max="1" width="4.140625" customWidth="1"/>
    <col min="4" max="4" width="26.140625" customWidth="1"/>
    <col min="5" max="5" width="11.42578125" bestFit="1" customWidth="1"/>
    <col min="7" max="7" width="13.140625" style="5" customWidth="1"/>
    <col min="8" max="8" width="4.7109375" customWidth="1"/>
    <col min="9" max="9" width="13.42578125" style="5" customWidth="1"/>
    <col min="10" max="10" width="4.7109375" customWidth="1"/>
    <col min="11" max="11" width="13.42578125" style="5" customWidth="1"/>
    <col min="12" max="12" width="4.7109375" style="5" customWidth="1"/>
    <col min="13" max="13" width="13.42578125" style="5" customWidth="1"/>
    <col min="14" max="14" width="3.42578125" customWidth="1"/>
  </cols>
  <sheetData>
    <row r="1" spans="2:14" ht="17.25" customHeight="1" x14ac:dyDescent="0.25"/>
    <row r="2" spans="2:14" ht="47.25" customHeight="1" x14ac:dyDescent="0.25">
      <c r="F2" s="70" t="s">
        <v>74</v>
      </c>
      <c r="G2" s="70"/>
      <c r="H2" s="70"/>
      <c r="I2" s="70"/>
      <c r="J2" s="70"/>
      <c r="K2" s="70"/>
      <c r="L2" s="70"/>
      <c r="M2" s="70"/>
      <c r="N2" s="70"/>
    </row>
    <row r="3" spans="2:14" ht="8.25" customHeight="1" x14ac:dyDescent="0.25">
      <c r="B3" s="20"/>
      <c r="C3" s="20"/>
      <c r="D3" s="20"/>
      <c r="E3" s="20"/>
      <c r="F3" s="20"/>
      <c r="G3" s="21"/>
      <c r="H3" s="22"/>
      <c r="I3" s="22"/>
      <c r="J3" s="22"/>
      <c r="K3" s="22"/>
      <c r="L3" s="22"/>
      <c r="M3" s="22"/>
      <c r="N3" s="22"/>
    </row>
    <row r="4" spans="2:14" ht="12" customHeight="1" x14ac:dyDescent="0.25">
      <c r="B4" s="72"/>
      <c r="C4" s="72"/>
      <c r="D4" s="72"/>
      <c r="E4" s="72"/>
      <c r="F4" s="72"/>
      <c r="G4" s="72"/>
      <c r="H4" s="72"/>
      <c r="I4" s="72"/>
      <c r="J4" s="72"/>
      <c r="K4" s="72"/>
      <c r="L4" s="72"/>
      <c r="M4" s="72"/>
      <c r="N4" s="72"/>
    </row>
    <row r="5" spans="2:14" ht="19.5" customHeight="1" x14ac:dyDescent="0.25">
      <c r="I5" s="46" t="s">
        <v>75</v>
      </c>
      <c r="K5" s="46" t="s">
        <v>76</v>
      </c>
      <c r="M5" s="46" t="s">
        <v>77</v>
      </c>
    </row>
    <row r="6" spans="2:14" ht="18" customHeight="1" x14ac:dyDescent="0.3">
      <c r="C6" s="6" t="s">
        <v>15</v>
      </c>
      <c r="D6" s="29"/>
      <c r="E6" s="29"/>
      <c r="F6" s="29"/>
      <c r="G6" s="29"/>
      <c r="H6" s="29"/>
      <c r="I6" s="45" t="s">
        <v>82</v>
      </c>
      <c r="K6" s="45" t="s">
        <v>82</v>
      </c>
      <c r="L6" s="23"/>
      <c r="M6" s="45" t="s">
        <v>82</v>
      </c>
      <c r="N6" s="29"/>
    </row>
    <row r="7" spans="2:14" ht="6" customHeight="1" x14ac:dyDescent="0.25"/>
    <row r="8" spans="2:14" ht="15.75" thickBot="1" x14ac:dyDescent="0.3">
      <c r="B8" s="1" t="s">
        <v>7</v>
      </c>
      <c r="C8" s="2"/>
      <c r="D8" s="2"/>
      <c r="E8" s="2"/>
      <c r="F8" s="2"/>
      <c r="G8" s="4" t="s">
        <v>3</v>
      </c>
      <c r="H8" s="3"/>
      <c r="I8" s="4" t="s">
        <v>78</v>
      </c>
      <c r="J8" s="3"/>
      <c r="K8" s="4" t="s">
        <v>79</v>
      </c>
      <c r="L8" s="4"/>
      <c r="M8" s="4" t="s">
        <v>80</v>
      </c>
      <c r="N8" s="2"/>
    </row>
    <row r="9" spans="2:14" ht="9" customHeight="1" x14ac:dyDescent="0.25"/>
    <row r="10" spans="2:14" ht="21.75" customHeight="1" x14ac:dyDescent="0.25">
      <c r="B10" s="10" t="s">
        <v>1</v>
      </c>
      <c r="C10" s="73"/>
      <c r="D10" s="73"/>
      <c r="E10" s="11"/>
      <c r="F10" s="11"/>
      <c r="G10" s="12" t="e">
        <f>I10+K10+M10</f>
        <v>#N/A</v>
      </c>
      <c r="H10" s="11"/>
      <c r="I10" s="12" t="e">
        <f>VLOOKUP(I6,Data1!A3:B22, 2, FALSE)</f>
        <v>#N/A</v>
      </c>
      <c r="J10" s="11"/>
      <c r="K10" s="12" t="e">
        <f>VLOOKUP(K6,Data1!A3:B22, 2, FALSE)</f>
        <v>#N/A</v>
      </c>
      <c r="L10" s="12"/>
      <c r="M10" s="12" t="e">
        <f>VLOOKUP(M6,Data1!A3:B22, 2, FALSE)</f>
        <v>#N/A</v>
      </c>
      <c r="N10" s="11"/>
    </row>
    <row r="11" spans="2:14" ht="21.75" customHeight="1" x14ac:dyDescent="0.25">
      <c r="B11" s="35" t="s">
        <v>0</v>
      </c>
    </row>
    <row r="12" spans="2:14" ht="21.75" customHeight="1" x14ac:dyDescent="0.25">
      <c r="B12" s="13" t="s">
        <v>2</v>
      </c>
      <c r="C12" s="11"/>
      <c r="D12" s="11"/>
      <c r="E12" s="11"/>
      <c r="F12" s="11"/>
      <c r="G12" s="12" t="e">
        <f>I12+K12+M12</f>
        <v>#N/A</v>
      </c>
      <c r="H12" s="11"/>
      <c r="I12" s="12" t="e">
        <f>VLOOKUP(I6,Data1!A3:C22, 3, FALSE)</f>
        <v>#N/A</v>
      </c>
      <c r="J12" s="11"/>
      <c r="K12" s="12" t="e">
        <f>VLOOKUP(K6, Data1!A3:C22, 3, FALSE)</f>
        <v>#N/A</v>
      </c>
      <c r="L12" s="12"/>
      <c r="M12" s="12" t="e">
        <f>VLOOKUP(M6, Data1!A3:C22, 3, FALSE)</f>
        <v>#N/A</v>
      </c>
      <c r="N12" s="11"/>
    </row>
    <row r="13" spans="2:14" ht="21.75" customHeight="1" x14ac:dyDescent="0.25">
      <c r="B13" s="39" t="s">
        <v>17</v>
      </c>
      <c r="G13" s="5" t="e">
        <f>I13+K13+M13</f>
        <v>#N/A</v>
      </c>
      <c r="I13" s="5" t="e">
        <f>VLOOKUP(I6,Data1!A3:D22, 4, FALSE)</f>
        <v>#N/A</v>
      </c>
      <c r="K13" s="5" t="e">
        <f>VLOOKUP(K6, Data1!A3:D22, 4, FALSE)</f>
        <v>#N/A</v>
      </c>
      <c r="M13" s="5" t="e">
        <f>VLOOKUP(M6, Data1!A3:D22, 4, FALSE)</f>
        <v>#N/A</v>
      </c>
    </row>
    <row r="14" spans="2:14" ht="21.75" customHeight="1" x14ac:dyDescent="0.25">
      <c r="B14" s="75" t="s">
        <v>57</v>
      </c>
      <c r="C14" s="75"/>
      <c r="D14" s="76"/>
      <c r="E14" s="31"/>
      <c r="F14" s="11"/>
      <c r="G14" s="30">
        <f>I14+K14+M14</f>
        <v>0</v>
      </c>
      <c r="H14" s="11"/>
      <c r="I14" s="30">
        <f>IF(AND(E14="Yes", I6&lt;&gt;"not enrolled"), (VLOOKUP(E14,Data1!A25:C26, 2, FALSE)), 0)</f>
        <v>0</v>
      </c>
      <c r="J14" s="11"/>
      <c r="K14" s="30">
        <v>0</v>
      </c>
      <c r="L14" s="30"/>
      <c r="M14" s="30">
        <f>IF(AND(E14="Yes", M6&lt;&gt;"not enrolled"), (VLOOKUP(E14,Data1!A25:C26, 2, FALSE)), 0)</f>
        <v>0</v>
      </c>
      <c r="N14" s="11"/>
    </row>
    <row r="15" spans="2:14" ht="21.75" customHeight="1" x14ac:dyDescent="0.25">
      <c r="B15" s="77" t="s">
        <v>83</v>
      </c>
      <c r="C15" s="77"/>
      <c r="D15" s="77"/>
      <c r="E15" s="60"/>
      <c r="F15" s="7"/>
      <c r="G15" s="32">
        <f>I15+K15+M15</f>
        <v>0</v>
      </c>
      <c r="H15" s="7"/>
      <c r="I15" s="52">
        <f>IF(AND(I6&lt;&gt;"select", I6&lt;&gt;"not enrolled",I6&lt;&gt;"4 credits",I6&lt;&gt;"5 credits",I6&lt;&gt;"6 credits",I6&lt;&gt;"7 credits"), 241, 0)</f>
        <v>0</v>
      </c>
      <c r="J15" s="7"/>
      <c r="K15" s="52">
        <f>IF(AND(K6&lt;&gt;"select", K6&lt;&gt;"not enrolled",K6&lt;&gt;"4 credits",K6&lt;&gt;"5 credits",K6&lt;&gt;"6 credits",K6&lt;&gt;"7 credits"), 241, 0)</f>
        <v>0</v>
      </c>
      <c r="L15" s="32"/>
      <c r="M15" s="52">
        <f>IF(AND(M6&lt;&gt;"select", M6&lt;&gt;"not enrolled",M6&lt;&gt;"4 credits",M6&lt;&gt;"5 credits",M6&lt;&gt;"6 credits",M6&lt;&gt;"7 credits"), 241, 0)</f>
        <v>0</v>
      </c>
      <c r="N15" s="7"/>
    </row>
    <row r="16" spans="2:14" ht="21.75" customHeight="1" x14ac:dyDescent="0.25">
      <c r="C16" s="8" t="s">
        <v>6</v>
      </c>
      <c r="G16" s="9" t="e">
        <f>SUM(G10, G12:G15)</f>
        <v>#N/A</v>
      </c>
      <c r="I16" s="9" t="e">
        <f>SUM(I10,I12:I15)</f>
        <v>#N/A</v>
      </c>
      <c r="K16" s="9" t="e">
        <f>SUM(K10,K12:K15)</f>
        <v>#N/A</v>
      </c>
      <c r="L16" s="9"/>
      <c r="M16" s="9" t="e">
        <f>SUM(M10,M12:M15)</f>
        <v>#N/A</v>
      </c>
    </row>
    <row r="17" spans="2:15" ht="24" customHeight="1" x14ac:dyDescent="0.25"/>
    <row r="18" spans="2:15" ht="15.75" thickBot="1" x14ac:dyDescent="0.3">
      <c r="B18" s="1" t="s">
        <v>11</v>
      </c>
      <c r="C18" s="2"/>
      <c r="D18" s="2"/>
      <c r="E18" s="2"/>
      <c r="F18" s="2"/>
      <c r="G18" s="4" t="s">
        <v>3</v>
      </c>
      <c r="H18" s="3"/>
      <c r="I18" s="4" t="s">
        <v>78</v>
      </c>
      <c r="J18" s="3"/>
      <c r="K18" s="4" t="s">
        <v>79</v>
      </c>
      <c r="L18" s="4"/>
      <c r="M18" s="4" t="s">
        <v>80</v>
      </c>
      <c r="N18" s="2"/>
    </row>
    <row r="19" spans="2:15" ht="21.75" customHeight="1" x14ac:dyDescent="0.25">
      <c r="B19" t="s">
        <v>16</v>
      </c>
      <c r="G19" s="16"/>
      <c r="I19" s="5">
        <f>IF((AND(I6&lt;&gt;"not enrolled", K6&lt;&gt;"not enrolled", M6&lt;&gt;"not enrolled")), (G19/3), IF((AND(I6&lt;&gt;"not enrolled", K6&lt;&gt;"not enrolled", M6="not enrolled")), (G19/2), IF((AND(I6&lt;&gt;"not enrolled", K6="not enrolled", M6="not enrolled")), (G19/1), 0)))</f>
        <v>0</v>
      </c>
      <c r="K19" s="5">
        <f>IF((AND(I6&lt;&gt;"not enrolled", K6&lt;&gt;"not enrolled", M6&lt;&gt;"not enrolled")), (G19/3), IF((AND(I6&lt;&gt;"not enrolled", K6&lt;&gt;"not enrolled", M6="not enrolled")), (G19/2), IF((AND(I6="not enrolled", K6&lt;&gt;"not enrolled", M6&lt;&gt;"not enrolled")), (G19/2), 0)))</f>
        <v>0</v>
      </c>
      <c r="M19" s="5">
        <f>IF((AND(I6&lt;&gt;"not enrolled", K6&lt;&gt;"not enrolled", M6&lt;&gt;"not enrolled")), (G19/3), IF((AND(I6="not enrolled", K6&lt;&gt;"not enrolled", M6&lt;&gt;"not enrolled")), (G19/2), IF((AND(I6="not enrolled", K6="not enrolled", M6&lt;&gt;"not enrolled")), (G19), 0)))</f>
        <v>0</v>
      </c>
    </row>
    <row r="20" spans="2:15" ht="21.75" customHeight="1" x14ac:dyDescent="0.25">
      <c r="B20" s="11" t="s">
        <v>8</v>
      </c>
      <c r="C20" s="11"/>
      <c r="D20" s="11"/>
      <c r="E20" s="11"/>
      <c r="F20" s="11"/>
      <c r="G20" s="17"/>
      <c r="H20" s="11"/>
      <c r="I20" s="12">
        <f>IF((AND(I6&lt;&gt;"not enrolled", K6&lt;&gt;"not enrolled", M6&lt;&gt;"not enrolled")), (G20/3), IF((AND(I6&lt;&gt;"not enrolled", K6&lt;&gt;"not enrolled", M6="not enrolled")), (G20/2), IF((AND(I6&lt;&gt;"not enrolled", K6="not enrolled", M6="not enrolled")), (G20/1), 0)))</f>
        <v>0</v>
      </c>
      <c r="J20" s="11"/>
      <c r="K20" s="12">
        <f>IF((AND(I6&lt;&gt;"not enrolled", K6&lt;&gt;"not enrolled", M6&lt;&gt;"not enrolled")), (G20/3), IF((AND(I6&lt;&gt;"not enrolled", K6&lt;&gt;"not enrolled", M6="not enrolled")), (G20/2), IF((AND(I6="not enrolled", K6&lt;&gt;"not enrolled", M6&lt;&gt;"not enrolled")), (G20/2), 0)))</f>
        <v>0</v>
      </c>
      <c r="L20" s="12"/>
      <c r="M20" s="12">
        <f>IF((AND(I6&lt;&gt;"not enrolled", K6&lt;&gt;"not enrolled", M6&lt;&gt;"not enrolled")), (G20/3), IF((AND(I6="not enrolled", K6&lt;&gt;"not enrolled", M6&lt;&gt;"not enrolled")), (G20/2), IF((AND(I6="not enrolled", K6="not enrolled", M6&lt;&gt;"not enrolled")), (G20), 0)))</f>
        <v>0</v>
      </c>
      <c r="N20" s="11"/>
    </row>
    <row r="21" spans="2:15" ht="21.75" customHeight="1" x14ac:dyDescent="0.25">
      <c r="B21" t="s">
        <v>84</v>
      </c>
      <c r="E21" s="18"/>
      <c r="G21" s="5">
        <f>SUM(I21,K21,M21)</f>
        <v>0</v>
      </c>
      <c r="I21" s="5">
        <f>IF((AND(I6&lt;&gt;"not enrolled", K6&lt;&gt;"not enrolled", M6&lt;&gt;"not enrolled")), ROUND(((E21-(E21*0.01057))/3),0), IF((AND(I6&lt;&gt;"not enrolled", K6&lt;&gt;"not enrolled", M6="not enrolled")), ROUND(((E21-(E21*0.01057))/2),0), IF((AND(I6&lt;&gt;"not enrolled", K6="not enrolled", M6="not enrolled")), ROUND(((E21-(E21*0.01057))/1),0), 0)))</f>
        <v>0</v>
      </c>
      <c r="K21" s="5">
        <f>IF((AND(I6&lt;&gt;"not enrolled", K6&lt;&gt;"not enrolled", M6&lt;&gt;"not enrolled")), ROUND(((E21-(E21*0.01057))/3),0), IF((AND(I6&lt;&gt;"not enrolled", K6&lt;&gt;"not enrolled", M6="not enrolled")), ROUND(((E21-(E21*0.01057))/2),0), IF((AND(I6="not enrolled", K6&lt;&gt;"not enrolled", M6&lt;&gt;"not enrolled")), ROUND(((E21-(E21*0.01057))/2),0), 0)))</f>
        <v>0</v>
      </c>
      <c r="M21" s="5">
        <f>IF((AND(I6&lt;&gt;"not enrolled", K6&lt;&gt;"not enrolled", M6&lt;&gt;"not enrolled")), ROUND(((E21-(E21*0.01057))/3),0), IF((AND(I6="not enrolled", K6&lt;&gt;"not enrolled", M6&lt;&gt;"not enrolled")), ROUND(((E21-(E21*0.01057))/2),0), IF((AND(I6="not enrolled", K6="not enrolled", M6&lt;&gt;"not enrolled")), ROUND(((E21-(E21*0.01057))/1),0), 0)))</f>
        <v>0</v>
      </c>
    </row>
    <row r="22" spans="2:15" ht="21.75" customHeight="1" x14ac:dyDescent="0.25">
      <c r="B22" s="11" t="s">
        <v>85</v>
      </c>
      <c r="C22" s="11"/>
      <c r="D22" s="11"/>
      <c r="E22" s="18"/>
      <c r="F22" s="11"/>
      <c r="G22" s="12">
        <f>SUM(I22,K22,M22)</f>
        <v>0</v>
      </c>
      <c r="H22" s="11"/>
      <c r="I22" s="12">
        <f>IF((AND(I6&lt;&gt;"not enrolled", K6&lt;&gt;"not enrolled", M6&lt;&gt;"not enrolled")), ROUND(((E22-(E22*0.04228))/3),0), IF((AND(I6&lt;&gt;"not enrolled", K6&lt;&gt;"not enrolled", M6="not enrolled")), ROUND(((E22-(E22*0.04228))/2),0), IF((AND(I6&lt;&gt;"not enrolled", K6="not enrolled", M6="not enrolled")), ROUND(((E22-(E22*0.04228))/1),0), 0)))</f>
        <v>0</v>
      </c>
      <c r="J22" s="11"/>
      <c r="K22" s="12">
        <f>IF((AND(I6&lt;&gt;"not enrolled", K6&lt;&gt;"not enrolled", M6&lt;&gt;"not enrolled")), ROUND(((E22-(E22*0.04228))/3),0), IF((AND(I6&lt;&gt;"not enrolled", K6&lt;&gt;"not enrolled", M6="not enrolled")), ROUND(((E22-(E22*0.04228))/2),0), IF((AND(I6="not enrolled", K6&lt;&gt;"not enrolled", M6&lt;&gt;"not enrolled")), ROUND(((E22-(E22*0.04228))/2),0), 0)))</f>
        <v>0</v>
      </c>
      <c r="L22" s="12"/>
      <c r="M22" s="12">
        <f>IF((AND(I6&lt;&gt;"not enrolled", K6&lt;&gt;"not enrolled", M6&lt;&gt;"not enrolled")), ROUND(((E22-(E22*0.04228))/3),0), IF((AND(I6="not enrolled", K6&lt;&gt;"not enrolled", M6&lt;&gt;"not enrolled")), ROUND(((E22-(E22*0.04228))/2),0), IF((AND(I6="not enrolled", K6="not enrolled", M6&lt;&gt;"not enrolled")), ROUND(((E22-(E22*0.04228))/1),0), 0)))</f>
        <v>0</v>
      </c>
      <c r="N22" s="11"/>
    </row>
    <row r="23" spans="2:15" ht="21.75" customHeight="1" x14ac:dyDescent="0.25">
      <c r="B23" s="68" t="s">
        <v>23</v>
      </c>
      <c r="C23" s="68"/>
      <c r="D23" s="68"/>
      <c r="E23" s="68"/>
      <c r="G23" s="17"/>
      <c r="I23" s="5">
        <f>IF((AND(I6&lt;&gt;"not enrolled", K6&lt;&gt;"not enrolled", M6&lt;&gt;"not enrolled")), (G23/3), IF((AND(I6&lt;&gt;"not enrolled", K6&lt;&gt;"not enrolled", M6="not enrolled")), (G23/2), IF((AND(I6&lt;&gt;"not enrolled", K6="not enrolled", M6="not enrolled")), (G23/1), 0)))</f>
        <v>0</v>
      </c>
      <c r="K23" s="5">
        <f>IF((AND(I6&lt;&gt;"not enrolled", K6&lt;&gt;"not enrolled", M6&lt;&gt;"not enrolled")), (G23/3), IF((AND(I6&lt;&gt;"not enrolled", K6&lt;&gt;"not enrolled", M6="not enrolled")), (G23/2), IF((AND(I6="not enrolled", K6&lt;&gt;"not enrolled", M6&lt;&gt;"not enrolled")), (G23/2), 0)))</f>
        <v>0</v>
      </c>
      <c r="M23" s="5">
        <f>IF((AND(I6&lt;&gt;"not enrolled", K6&lt;&gt;"not enrolled", M6&lt;&gt;"not enrolled")), (G23/3), IF((AND(I6="not enrolled", K6&lt;&gt;"not enrolled", M6&lt;&gt;"not enrolled")), (G23/2), IF((AND(I6="not enrolled", K6="not enrolled", M6&lt;&gt;"not enrolled")), (G23), 0)))</f>
        <v>0</v>
      </c>
    </row>
    <row r="24" spans="2:15" ht="21.75" customHeight="1" x14ac:dyDescent="0.25">
      <c r="B24" s="74" t="s">
        <v>24</v>
      </c>
      <c r="C24" s="74"/>
      <c r="D24" s="74"/>
      <c r="E24" s="74"/>
      <c r="F24" s="74"/>
      <c r="G24" s="28">
        <f>I24+K24+M24</f>
        <v>0</v>
      </c>
      <c r="H24" s="27"/>
      <c r="I24" s="19"/>
      <c r="J24" s="27"/>
      <c r="K24" s="19"/>
      <c r="L24" s="33"/>
      <c r="M24" s="24"/>
      <c r="N24" s="27"/>
    </row>
    <row r="25" spans="2:15" ht="21.75" customHeight="1" x14ac:dyDescent="0.25">
      <c r="C25" s="8" t="s">
        <v>10</v>
      </c>
      <c r="G25" s="5">
        <f>SUM(G19:G24)</f>
        <v>0</v>
      </c>
      <c r="I25" s="5">
        <f>SUM(I19:I24)</f>
        <v>0</v>
      </c>
      <c r="K25" s="5">
        <f>SUM(K19:K23,K24)</f>
        <v>0</v>
      </c>
      <c r="M25" s="5">
        <f>SUM(M19:M23,M24)</f>
        <v>0</v>
      </c>
    </row>
    <row r="26" spans="2:15" ht="15.75" thickBot="1" x14ac:dyDescent="0.3"/>
    <row r="27" spans="2:15" ht="21.75" customHeight="1" thickTop="1" thickBot="1" x14ac:dyDescent="0.35">
      <c r="B27" s="15" t="s">
        <v>12</v>
      </c>
      <c r="C27" s="14"/>
      <c r="D27" s="14"/>
      <c r="E27" s="14"/>
      <c r="F27" s="14"/>
      <c r="G27" s="25" t="e">
        <f>G16-G25</f>
        <v>#N/A</v>
      </c>
      <c r="H27" s="26"/>
      <c r="I27" s="25" t="e">
        <f>I16-I25</f>
        <v>#N/A</v>
      </c>
      <c r="J27" s="26"/>
      <c r="K27" s="25" t="e">
        <f>K16-K25</f>
        <v>#N/A</v>
      </c>
      <c r="L27" s="25"/>
      <c r="M27" s="25" t="e">
        <f>M16-M25</f>
        <v>#N/A</v>
      </c>
      <c r="N27" s="14"/>
    </row>
    <row r="28" spans="2:15" ht="15.75" thickTop="1" x14ac:dyDescent="0.25"/>
    <row r="29" spans="2:15" x14ac:dyDescent="0.25">
      <c r="B29" s="8" t="s">
        <v>13</v>
      </c>
    </row>
    <row r="30" spans="2:15" ht="21.75" customHeight="1" x14ac:dyDescent="0.25">
      <c r="B30" s="71" t="s">
        <v>81</v>
      </c>
      <c r="C30" s="69"/>
      <c r="D30" s="69"/>
      <c r="E30" s="69"/>
      <c r="F30" s="69"/>
      <c r="G30" s="69"/>
      <c r="H30" s="69"/>
      <c r="I30" s="69"/>
      <c r="J30" s="69"/>
      <c r="K30" s="69"/>
      <c r="L30" s="69"/>
      <c r="M30" s="69"/>
      <c r="N30" s="69"/>
      <c r="O30" s="69"/>
    </row>
    <row r="31" spans="2:15" ht="17.25" customHeight="1" x14ac:dyDescent="0.25">
      <c r="B31" s="68" t="s">
        <v>18</v>
      </c>
      <c r="C31" s="68"/>
      <c r="D31" s="68"/>
      <c r="E31" s="68"/>
      <c r="F31" s="68"/>
      <c r="G31" s="68"/>
      <c r="H31" s="68"/>
      <c r="I31" s="68"/>
      <c r="J31" s="68"/>
      <c r="K31" s="68"/>
      <c r="L31" s="68"/>
      <c r="M31" s="68"/>
      <c r="N31" s="68"/>
    </row>
    <row r="32" spans="2:15" ht="31.5" customHeight="1" x14ac:dyDescent="0.25">
      <c r="B32" s="69" t="s">
        <v>113</v>
      </c>
      <c r="C32" s="69"/>
      <c r="D32" s="69"/>
      <c r="E32" s="69"/>
      <c r="F32" s="69"/>
      <c r="G32" s="69"/>
      <c r="H32" s="69"/>
      <c r="I32" s="69"/>
      <c r="J32" s="69"/>
      <c r="K32" s="69"/>
      <c r="L32" s="69"/>
      <c r="M32" s="69"/>
      <c r="N32" s="69"/>
    </row>
    <row r="33" spans="2:14" ht="33.6" customHeight="1" x14ac:dyDescent="0.25">
      <c r="B33" s="69" t="s">
        <v>111</v>
      </c>
      <c r="C33" s="69"/>
      <c r="D33" s="69"/>
      <c r="E33" s="69"/>
      <c r="F33" s="69"/>
      <c r="G33" s="69"/>
      <c r="H33" s="69"/>
      <c r="I33" s="69"/>
      <c r="J33" s="69"/>
      <c r="K33" s="69"/>
      <c r="L33" s="69"/>
      <c r="M33" s="69"/>
      <c r="N33" s="69"/>
    </row>
    <row r="34" spans="2:14" ht="47.45" customHeight="1" x14ac:dyDescent="0.25">
      <c r="B34" s="69" t="s">
        <v>112</v>
      </c>
      <c r="C34" s="69"/>
      <c r="D34" s="69"/>
      <c r="E34" s="69"/>
      <c r="F34" s="69"/>
      <c r="G34" s="69"/>
      <c r="H34" s="69"/>
      <c r="I34" s="69"/>
      <c r="J34" s="69"/>
      <c r="K34" s="69"/>
      <c r="L34" s="69"/>
      <c r="M34" s="69"/>
      <c r="N34" s="69"/>
    </row>
    <row r="35" spans="2:14" ht="21.75" customHeight="1" x14ac:dyDescent="0.25"/>
    <row r="37" spans="2:14" x14ac:dyDescent="0.25">
      <c r="B37" s="64" t="s">
        <v>14</v>
      </c>
      <c r="C37" s="64"/>
      <c r="D37" s="64"/>
      <c r="E37" s="64"/>
      <c r="F37" s="64"/>
      <c r="G37" s="64"/>
      <c r="H37" s="64"/>
      <c r="I37" s="64"/>
      <c r="J37" s="64"/>
      <c r="K37" s="64"/>
      <c r="L37" s="64"/>
      <c r="M37" s="64"/>
      <c r="N37" s="64"/>
    </row>
  </sheetData>
  <sheetProtection algorithmName="SHA-512" hashValue="bnMmsFEYhqbYHHLtAFOSkieoZUrfqU2LLnsd2r0nedu/pKmG4X4642PepJ5L1NtA1nYMAGnKJI3IJHVvfbVpWw==" saltValue="XmQLBt5TU7SNYH/XjKokeQ==" spinCount="100000" sheet="1" selectLockedCells="1"/>
  <mergeCells count="13">
    <mergeCell ref="B31:N31"/>
    <mergeCell ref="B34:N34"/>
    <mergeCell ref="B37:N37"/>
    <mergeCell ref="F2:N2"/>
    <mergeCell ref="B30:O30"/>
    <mergeCell ref="B4:N4"/>
    <mergeCell ref="C10:D10"/>
    <mergeCell ref="B23:E23"/>
    <mergeCell ref="B24:F24"/>
    <mergeCell ref="B14:D14"/>
    <mergeCell ref="B15:D15"/>
    <mergeCell ref="B32:N32"/>
    <mergeCell ref="B33:N33"/>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Data1!$A$2:$A$22</xm:f>
          </x14:formula1>
          <xm:sqref>M6 I6 K6</xm:sqref>
        </x14:dataValidation>
        <x14:dataValidation type="list" allowBlank="1" showInputMessage="1" showErrorMessage="1" xr:uid="{00000000-0002-0000-0100-000001000000}">
          <x14:formula1>
            <xm:f>Data1!$A$25:$A$26</xm:f>
          </x14:formula1>
          <xm:sqref>E14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78" t="s">
        <v>86</v>
      </c>
      <c r="I2" s="79"/>
      <c r="J2" s="79"/>
      <c r="K2" s="79"/>
      <c r="L2" s="79"/>
      <c r="M2" s="79"/>
      <c r="N2" s="79"/>
      <c r="O2" s="79"/>
    </row>
    <row r="3" spans="2:15" ht="8.25" customHeight="1" x14ac:dyDescent="0.25">
      <c r="B3" s="20"/>
      <c r="C3" s="20"/>
      <c r="D3" s="20"/>
      <c r="E3" s="20"/>
      <c r="F3" s="20"/>
      <c r="G3" s="20"/>
      <c r="H3" s="21"/>
      <c r="I3" s="22"/>
      <c r="J3" s="22"/>
      <c r="K3" s="22"/>
      <c r="L3" s="22"/>
      <c r="M3" s="22"/>
      <c r="N3" s="22"/>
      <c r="O3" s="22"/>
    </row>
    <row r="4" spans="2:15" ht="27.75" customHeight="1" x14ac:dyDescent="0.25">
      <c r="B4" s="47"/>
      <c r="C4" s="53" t="s">
        <v>59</v>
      </c>
      <c r="D4" s="47"/>
      <c r="E4" s="47"/>
      <c r="F4" s="47"/>
      <c r="G4" s="47"/>
      <c r="H4" s="47"/>
      <c r="I4" s="47"/>
      <c r="J4" s="47"/>
      <c r="K4" s="47"/>
      <c r="L4" s="47"/>
      <c r="M4" s="47"/>
      <c r="N4" s="47"/>
      <c r="O4" s="47"/>
    </row>
    <row r="5" spans="2:15" ht="19.5" customHeight="1" x14ac:dyDescent="0.25">
      <c r="J5" s="46" t="s">
        <v>75</v>
      </c>
      <c r="L5" s="46" t="s">
        <v>76</v>
      </c>
      <c r="N5" s="46" t="s">
        <v>77</v>
      </c>
    </row>
    <row r="6" spans="2:15" ht="18" customHeight="1" x14ac:dyDescent="0.3">
      <c r="D6" s="6" t="s">
        <v>15</v>
      </c>
      <c r="E6" s="29"/>
      <c r="F6" s="29"/>
      <c r="G6" s="29"/>
      <c r="H6" s="29"/>
      <c r="I6" s="29"/>
      <c r="J6" s="45" t="s">
        <v>82</v>
      </c>
      <c r="L6" s="45" t="s">
        <v>82</v>
      </c>
      <c r="M6" s="23"/>
      <c r="N6" s="45" t="s">
        <v>82</v>
      </c>
      <c r="O6" s="29"/>
    </row>
    <row r="7" spans="2:15" ht="6" customHeight="1" x14ac:dyDescent="0.25"/>
    <row r="8" spans="2:15" ht="15.75" thickBot="1" x14ac:dyDescent="0.3">
      <c r="B8" s="1" t="s">
        <v>7</v>
      </c>
      <c r="C8" s="1"/>
      <c r="D8" s="2"/>
      <c r="E8" s="2"/>
      <c r="F8" s="2"/>
      <c r="G8" s="2"/>
      <c r="H8" s="4" t="s">
        <v>3</v>
      </c>
      <c r="I8" s="3"/>
      <c r="J8" s="4" t="s">
        <v>78</v>
      </c>
      <c r="K8" s="3"/>
      <c r="L8" s="4" t="s">
        <v>79</v>
      </c>
      <c r="M8" s="4"/>
      <c r="N8" s="4" t="s">
        <v>80</v>
      </c>
      <c r="O8" s="2"/>
    </row>
    <row r="9" spans="2:15" ht="9" customHeight="1" x14ac:dyDescent="0.25"/>
    <row r="10" spans="2:15" ht="21.75" customHeight="1" x14ac:dyDescent="0.25">
      <c r="B10" s="10" t="s">
        <v>1</v>
      </c>
      <c r="C10" s="10"/>
      <c r="D10" s="73"/>
      <c r="E10" s="73"/>
      <c r="F10" s="11"/>
      <c r="G10" s="11"/>
      <c r="H10" s="12">
        <f>J10+L10+N10</f>
        <v>0</v>
      </c>
      <c r="I10" s="11"/>
      <c r="J10" s="12">
        <f>VLOOKUP(J6, Data1!K2:M22, 2, FALSE)</f>
        <v>0</v>
      </c>
      <c r="K10" s="11"/>
      <c r="L10" s="12">
        <f>VLOOKUP(L6,Data1!K2:N22,2,FALSE)</f>
        <v>0</v>
      </c>
      <c r="M10" s="12"/>
      <c r="N10" s="12">
        <f>VLOOKUP(N6,Data1!K2:N22,2,FALSE)</f>
        <v>0</v>
      </c>
      <c r="O10" s="11"/>
    </row>
    <row r="11" spans="2:15" ht="21.75" customHeight="1" x14ac:dyDescent="0.25">
      <c r="B11" s="35" t="s">
        <v>0</v>
      </c>
      <c r="C11" s="35"/>
    </row>
    <row r="12" spans="2:15" ht="21.75" customHeight="1" x14ac:dyDescent="0.25">
      <c r="B12" s="13" t="s">
        <v>2</v>
      </c>
      <c r="C12" s="13"/>
      <c r="D12" s="11"/>
      <c r="E12" s="11"/>
      <c r="F12" s="11"/>
      <c r="G12" s="11"/>
      <c r="H12" s="12">
        <f>J12+L12+N12</f>
        <v>0</v>
      </c>
      <c r="I12" s="11"/>
      <c r="J12" s="12">
        <f>VLOOKUP(J6,Data1!K2:N22,3,FALSE)</f>
        <v>0</v>
      </c>
      <c r="K12" s="11"/>
      <c r="L12" s="12">
        <f>VLOOKUP(L6,Data1!K2:N22,3,FALSE)</f>
        <v>0</v>
      </c>
      <c r="M12" s="12"/>
      <c r="N12" s="12">
        <f>VLOOKUP(N6,Data1!K2:N22,3,FALSE)</f>
        <v>0</v>
      </c>
      <c r="O12" s="11"/>
    </row>
    <row r="13" spans="2:15" ht="21.75" customHeight="1" x14ac:dyDescent="0.25">
      <c r="B13" s="39" t="s">
        <v>17</v>
      </c>
      <c r="C13" s="39"/>
      <c r="H13" s="5">
        <f>J13+L13+N13</f>
        <v>0</v>
      </c>
      <c r="J13" s="5">
        <f>VLOOKUP(J6,Data1!K2:N22,4,FALSE)</f>
        <v>0</v>
      </c>
      <c r="L13" s="5">
        <f>VLOOKUP(L6,Data1!K2:N22,4,FALSE)</f>
        <v>0</v>
      </c>
      <c r="N13" s="5">
        <f>VLOOKUP(N6,Data1!K2:N22,4,FALSE)</f>
        <v>0</v>
      </c>
    </row>
    <row r="14" spans="2:15" ht="21.75" customHeight="1" x14ac:dyDescent="0.25">
      <c r="B14" s="75" t="s">
        <v>57</v>
      </c>
      <c r="C14" s="75"/>
      <c r="D14" s="75"/>
      <c r="E14" s="76"/>
      <c r="F14" s="31"/>
      <c r="G14" s="11"/>
      <c r="H14" s="30">
        <f>J14+L14+N14</f>
        <v>0</v>
      </c>
      <c r="I14" s="11"/>
      <c r="J14" s="30">
        <f>IF(AND(F14="Yes", J6&lt;&gt;"not enrolled"), (VLOOKUP(F14, Data1!A25:C26, 2, FALSE)), 0)</f>
        <v>0</v>
      </c>
      <c r="K14" s="11"/>
      <c r="L14" s="30">
        <v>0</v>
      </c>
      <c r="M14" s="30"/>
      <c r="N14" s="30">
        <f>IF(AND(F14="Yes", N6&lt;&gt;"not enrolled"), (VLOOKUP(F14, Data1!A25:C26, 2, FALSE)), 0)</f>
        <v>0</v>
      </c>
      <c r="O14" s="11"/>
    </row>
    <row r="15" spans="2:15" ht="21.75" customHeight="1" x14ac:dyDescent="0.25">
      <c r="B15" s="77" t="s">
        <v>83</v>
      </c>
      <c r="C15" s="77"/>
      <c r="D15" s="77"/>
      <c r="E15" s="77"/>
      <c r="F15" s="60"/>
      <c r="G15" s="7"/>
      <c r="H15" s="32">
        <f>J15+L15+N15</f>
        <v>0</v>
      </c>
      <c r="I15" s="7"/>
      <c r="J15" s="52">
        <f>IF(AND(J6&lt;&gt;"select", J6&lt;&gt;"not enrolled",J6&lt;&gt;"4 credits",J6&lt;&gt;"5 credits",J6&lt;&gt;"6 credits",J6&lt;&gt;"7 credits"), 241, 0)</f>
        <v>0</v>
      </c>
      <c r="K15" s="7"/>
      <c r="L15" s="52">
        <f>IF(AND(L6&lt;&gt;"select", L6&lt;&gt;"not enrolled",L6&lt;&gt;"4 credits",L6&lt;&gt;"5 credits",L6&lt;&gt;"6 credits",L6&lt;&gt;"7 credits"), 241, 0)</f>
        <v>0</v>
      </c>
      <c r="M15" s="32"/>
      <c r="N15" s="52">
        <f>IF(AND(N6&lt;&gt;"select", N6&lt;&gt;"not enrolled",N6&lt;&gt;"4 credits",N6&lt;&gt;"5 credits",N6&lt;&gt;"6 credits",N6&lt;&gt;"7 credits"), 241, 0)</f>
        <v>0</v>
      </c>
      <c r="O15" s="7"/>
    </row>
    <row r="16" spans="2:15" ht="21.75" customHeight="1" x14ac:dyDescent="0.25">
      <c r="D16" s="8" t="s">
        <v>6</v>
      </c>
      <c r="H16" s="9">
        <f>SUM(H10, H12:H15)</f>
        <v>0</v>
      </c>
      <c r="J16" s="9">
        <f>SUM(J10,J12:J15)</f>
        <v>0</v>
      </c>
      <c r="L16" s="9">
        <f>SUM(L10,L12:L15)</f>
        <v>0</v>
      </c>
      <c r="M16" s="9"/>
      <c r="N16" s="9">
        <f>SUM(N10,N12:N15)</f>
        <v>0</v>
      </c>
    </row>
    <row r="17" spans="2:15" ht="24" customHeight="1" x14ac:dyDescent="0.25"/>
    <row r="18" spans="2:15" ht="15.75" thickBot="1" x14ac:dyDescent="0.3">
      <c r="B18" s="1" t="s">
        <v>11</v>
      </c>
      <c r="C18" s="1"/>
      <c r="D18" s="2"/>
      <c r="E18" s="2"/>
      <c r="F18" s="2"/>
      <c r="G18" s="2"/>
      <c r="H18" s="4" t="s">
        <v>3</v>
      </c>
      <c r="I18" s="3"/>
      <c r="J18" s="4" t="s">
        <v>78</v>
      </c>
      <c r="K18" s="3"/>
      <c r="L18" s="4" t="s">
        <v>79</v>
      </c>
      <c r="M18" s="4"/>
      <c r="N18" s="4" t="s">
        <v>80</v>
      </c>
      <c r="O18" s="2"/>
    </row>
    <row r="19" spans="2:15" ht="21.75" customHeight="1" x14ac:dyDescent="0.25">
      <c r="B19" t="s">
        <v>16</v>
      </c>
      <c r="H19" s="16"/>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1" t="s">
        <v>8</v>
      </c>
      <c r="C20" s="11"/>
      <c r="D20" s="11"/>
      <c r="E20" s="11"/>
      <c r="F20" s="11"/>
      <c r="G20" s="11"/>
      <c r="H20" s="17"/>
      <c r="I20" s="11"/>
      <c r="J20" s="12">
        <f>IF((AND(J6&lt;&gt;"not enrolled", L6&lt;&gt;"not enrolled", N6&lt;&gt;"not enrolled")), (H20/3), IF((AND(J6&lt;&gt;"not enrolled", L6&lt;&gt;"not enrolled", N6="not enrolled")), (H20/2), IF((AND(J6&lt;&gt;"not enrolled", L6="not enrolled", N6="not enrolled")), (H20/1), 0)))</f>
        <v>0</v>
      </c>
      <c r="K20" s="11"/>
      <c r="L20" s="12">
        <f>IF((AND(J6&lt;&gt;"not enrolled", L6&lt;&gt;"not enrolled", N6&lt;&gt;"not enrolled")), (H20/3), IF((AND(J6&lt;&gt;"not enrolled", L6&lt;&gt;"not enrolled", N6="not enrolled")), (H20/2), IF((AND(J6="not enrolled", L6&lt;&gt;"not enrolled", N6&lt;&gt;"not enrolled")), (H20/2), 0)))</f>
        <v>0</v>
      </c>
      <c r="M20" s="12"/>
      <c r="N20" s="12">
        <f>IF((AND(J6&lt;&gt;"not enrolled", L6&lt;&gt;"not enrolled", N6&lt;&gt;"not enrolled")), (H20/3), IF((AND(J6="not enrolled", L6&lt;&gt;"not enrolled", N6&lt;&gt;"not enrolled")), (H20/2), IF((AND(J6="not enrolled", L6="not enrolled", N6&lt;&gt;"not enrolled")), (H20), 0)))</f>
        <v>0</v>
      </c>
      <c r="O20" s="11"/>
    </row>
    <row r="21" spans="2:15" ht="21.75" customHeight="1" x14ac:dyDescent="0.25">
      <c r="B21" t="s">
        <v>84</v>
      </c>
      <c r="F21" s="18"/>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1" t="s">
        <v>85</v>
      </c>
      <c r="C22" s="11"/>
      <c r="D22" s="11"/>
      <c r="E22" s="11"/>
      <c r="F22" s="18"/>
      <c r="G22" s="11"/>
      <c r="H22" s="12">
        <f>SUM(J22,L22,N22)</f>
        <v>0</v>
      </c>
      <c r="I22" s="11"/>
      <c r="J22" s="12">
        <f>IF((AND(J6&lt;&gt;"not enrolled", L6&lt;&gt;"not enrolled", N6&lt;&gt;"not enrolled")), ROUND(((F22-(F22*0.04228))/3),0), IF((AND(J6&lt;&gt;"not enrolled", L6&lt;&gt;"not enrolled", N6="not enrolled")), ROUND(((F22-(F22*0.04228))/2),0), IF((AND(J6&lt;&gt;"not enrolled", L6="not enrolled", N6="not enrolled")), ROUND(((F22-(F22*0.04228))/1),0), 0)))</f>
        <v>0</v>
      </c>
      <c r="K22" s="11"/>
      <c r="L22" s="12">
        <f>IF((AND(J6&lt;&gt;"not enrolled", L6&lt;&gt;"not enrolled", N6&lt;&gt;"not enrolled")), ROUND(((F22-(F22*0.04228))/3),0), IF((AND(J6&lt;&gt;"not enrolled", L6&lt;&gt;"not enrolled", N6="not enrolled")), ROUND(((F22-(F22*0.04228))/2),0), IF((AND(J6="not enrolled", L6&lt;&gt;"not enrolled", N6&lt;&gt;"not enrolled")), ROUND(((F22-(F22*0.04228))/2),0), 0)))</f>
        <v>0</v>
      </c>
      <c r="M22" s="12"/>
      <c r="N22" s="12">
        <f>IF((AND(J6&lt;&gt;"not enrolled", L6&lt;&gt;"not enrolled", N6&lt;&gt;"not enrolled")), ROUND(((F22-(F22*0.04228))/3),0), IF((AND(J6="not enrolled", L6&lt;&gt;"not enrolled", N6&lt;&gt;"not enrolled")), ROUND(((F22-(F22*0.04228))/2),0), IF((AND(J6="not enrolled", L6="not enrolled", N6&lt;&gt;"not enrolled")), ROUND(((F22-(F22*0.04228))/1),0), 0)))</f>
        <v>0</v>
      </c>
      <c r="O22" s="11"/>
    </row>
    <row r="23" spans="2:15" ht="21.75" customHeight="1" x14ac:dyDescent="0.25">
      <c r="B23" s="68" t="s">
        <v>23</v>
      </c>
      <c r="C23" s="68"/>
      <c r="D23" s="68"/>
      <c r="E23" s="68"/>
      <c r="F23" s="68"/>
      <c r="H23" s="17"/>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74" t="s">
        <v>24</v>
      </c>
      <c r="C24" s="74"/>
      <c r="D24" s="74"/>
      <c r="E24" s="74"/>
      <c r="F24" s="74"/>
      <c r="G24" s="74"/>
      <c r="H24" s="28">
        <f>J24+L24+N24</f>
        <v>0</v>
      </c>
      <c r="I24" s="27"/>
      <c r="J24" s="19"/>
      <c r="K24" s="27"/>
      <c r="L24" s="19"/>
      <c r="M24" s="33"/>
      <c r="N24" s="52"/>
      <c r="O24" s="27"/>
    </row>
    <row r="25" spans="2:15" ht="21.75" customHeight="1" x14ac:dyDescent="0.25">
      <c r="D25" s="8" t="s">
        <v>10</v>
      </c>
      <c r="H25" s="5">
        <f>SUM(H19:H24)</f>
        <v>0</v>
      </c>
      <c r="J25" s="5">
        <f>SUM(J19:J24)</f>
        <v>0</v>
      </c>
      <c r="L25" s="5">
        <f>SUM(L19:L23,L24)</f>
        <v>0</v>
      </c>
      <c r="N25" s="5">
        <f>SUM(N19:N23,N24)</f>
        <v>0</v>
      </c>
    </row>
    <row r="26" spans="2:15" ht="15.75" thickBot="1" x14ac:dyDescent="0.3"/>
    <row r="27" spans="2:15" ht="21.75" customHeight="1" thickTop="1" thickBot="1" x14ac:dyDescent="0.35">
      <c r="B27" s="15" t="s">
        <v>12</v>
      </c>
      <c r="C27" s="15"/>
      <c r="D27" s="14"/>
      <c r="E27" s="14"/>
      <c r="F27" s="14"/>
      <c r="G27" s="14"/>
      <c r="H27" s="25">
        <f>H16-H25</f>
        <v>0</v>
      </c>
      <c r="I27" s="26"/>
      <c r="J27" s="25">
        <f>J16-J25</f>
        <v>0</v>
      </c>
      <c r="K27" s="26"/>
      <c r="L27" s="25">
        <f>L16-L25</f>
        <v>0</v>
      </c>
      <c r="M27" s="25"/>
      <c r="N27" s="25">
        <f>N16-N25</f>
        <v>0</v>
      </c>
      <c r="O27" s="14"/>
    </row>
    <row r="28" spans="2:15" ht="15.75" thickTop="1" x14ac:dyDescent="0.25"/>
    <row r="29" spans="2:15" x14ac:dyDescent="0.25">
      <c r="B29" s="8" t="s">
        <v>13</v>
      </c>
      <c r="C29" s="8"/>
    </row>
    <row r="30" spans="2:15" ht="21.75" customHeight="1" x14ac:dyDescent="0.25">
      <c r="B30" s="51">
        <v>1</v>
      </c>
      <c r="C30" s="69" t="s">
        <v>87</v>
      </c>
      <c r="D30" s="69"/>
      <c r="E30" s="69"/>
      <c r="F30" s="69"/>
      <c r="G30" s="69"/>
      <c r="H30" s="69"/>
      <c r="I30" s="69"/>
      <c r="J30" s="69"/>
      <c r="K30" s="69"/>
      <c r="L30" s="69"/>
      <c r="M30" s="69"/>
      <c r="N30" s="69"/>
      <c r="O30" s="69"/>
    </row>
    <row r="31" spans="2:15" ht="18" customHeight="1" x14ac:dyDescent="0.25">
      <c r="B31" s="49">
        <v>2</v>
      </c>
      <c r="C31" t="s">
        <v>58</v>
      </c>
      <c r="H31"/>
      <c r="J31"/>
      <c r="L31"/>
      <c r="M31"/>
      <c r="N31"/>
    </row>
    <row r="32" spans="2:15" ht="30.6" customHeight="1" x14ac:dyDescent="0.25">
      <c r="B32" s="48">
        <v>3</v>
      </c>
      <c r="C32" s="69" t="s">
        <v>114</v>
      </c>
      <c r="D32" s="69"/>
      <c r="E32" s="69"/>
      <c r="F32" s="69"/>
      <c r="G32" s="69"/>
      <c r="H32" s="69"/>
      <c r="I32" s="69"/>
      <c r="J32" s="69"/>
      <c r="K32" s="69"/>
      <c r="L32" s="69"/>
      <c r="M32" s="69"/>
      <c r="N32" s="69"/>
      <c r="O32" s="69"/>
    </row>
    <row r="33" spans="2:15" ht="31.9" customHeight="1" x14ac:dyDescent="0.25">
      <c r="B33" s="48">
        <v>4</v>
      </c>
      <c r="C33" s="69" t="s">
        <v>88</v>
      </c>
      <c r="D33" s="69"/>
      <c r="E33" s="69"/>
      <c r="F33" s="69"/>
      <c r="G33" s="69"/>
      <c r="H33" s="69"/>
      <c r="I33" s="69"/>
      <c r="J33" s="69"/>
      <c r="K33" s="69"/>
      <c r="L33" s="69"/>
      <c r="M33" s="69"/>
      <c r="N33" s="69"/>
      <c r="O33" s="69"/>
    </row>
    <row r="34" spans="2:15" ht="46.5" customHeight="1" x14ac:dyDescent="0.25">
      <c r="B34" s="48">
        <v>5</v>
      </c>
      <c r="C34" s="69" t="s">
        <v>96</v>
      </c>
      <c r="D34" s="69"/>
      <c r="E34" s="69"/>
      <c r="F34" s="69"/>
      <c r="G34" s="69"/>
      <c r="H34" s="69"/>
      <c r="I34" s="69"/>
      <c r="J34" s="69"/>
      <c r="K34" s="69"/>
      <c r="L34" s="69"/>
      <c r="M34" s="69"/>
      <c r="N34" s="69"/>
      <c r="O34" s="69"/>
    </row>
    <row r="35" spans="2:15" ht="21.75" customHeight="1" x14ac:dyDescent="0.25"/>
    <row r="37" spans="2:15" x14ac:dyDescent="0.25">
      <c r="B37" s="64" t="s">
        <v>14</v>
      </c>
      <c r="C37" s="64"/>
      <c r="D37" s="64"/>
      <c r="E37" s="64"/>
      <c r="F37" s="64"/>
      <c r="G37" s="64"/>
      <c r="H37" s="64"/>
      <c r="I37" s="64"/>
      <c r="J37" s="64"/>
      <c r="K37" s="64"/>
      <c r="L37" s="64"/>
      <c r="M37" s="64"/>
      <c r="N37" s="64"/>
      <c r="O37" s="64"/>
    </row>
  </sheetData>
  <sheetProtection algorithmName="SHA-512" hashValue="7+xGQ9UvSfnDeJsMeP5WHHYjd7WS9+bvk+ittLnN+9Lu5B+C4mutqQWmEF198FX5nUNUO6jPp1BMPbonxMpUqg==" saltValue="qq28RxJu9Er2l6ZzPDSfbA==" spinCount="100000" sheet="1" selectLockedCells="1"/>
  <mergeCells count="11">
    <mergeCell ref="H2:O2"/>
    <mergeCell ref="D10:E10"/>
    <mergeCell ref="B37:O37"/>
    <mergeCell ref="B14:E14"/>
    <mergeCell ref="B15:E15"/>
    <mergeCell ref="B23:F23"/>
    <mergeCell ref="B24:G24"/>
    <mergeCell ref="C34:O34"/>
    <mergeCell ref="C30:O30"/>
    <mergeCell ref="C32:O32"/>
    <mergeCell ref="C33:O33"/>
  </mergeCells>
  <hyperlinks>
    <hyperlink ref="B14" r:id="rId1" display="Will you enroll in DU's health insurance plan?" xr:uid="{00000000-0004-0000-0200-000000000000}"/>
    <hyperlink ref="B15" r:id="rId2" display="Will you use DU Health &amp; Counseling Services? " xr:uid="{00000000-0004-0000-02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Data1!$K$2:$K$22</xm:f>
          </x14:formula1>
          <xm:sqref>N6 J6 L6</xm:sqref>
        </x14:dataValidation>
        <x14:dataValidation type="list" allowBlank="1" showInputMessage="1" showErrorMessage="1" xr:uid="{00000000-0002-0000-0200-000002000000}">
          <x14:formula1>
            <xm:f>Data1!$A$25:$A$26</xm:f>
          </x14:formula1>
          <xm:sqref>F14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0"/>
  <sheetViews>
    <sheetView showGridLines="0" showRowColHeaders="0" showRuler="0" zoomScaleNormal="100" workbookViewId="0">
      <selection activeCell="F5" sqref="F5:H5"/>
    </sheetView>
  </sheetViews>
  <sheetFormatPr defaultColWidth="8.85546875" defaultRowHeight="15" x14ac:dyDescent="0.25"/>
  <cols>
    <col min="1" max="1" width="4.140625" customWidth="1"/>
    <col min="4" max="4" width="26.140625" customWidth="1"/>
    <col min="5" max="5" width="11.42578125" bestFit="1" customWidth="1"/>
    <col min="7" max="7" width="13.140625" style="5" customWidth="1"/>
    <col min="8" max="8" width="4.7109375" customWidth="1"/>
    <col min="9" max="9" width="13.42578125" style="5" customWidth="1"/>
    <col min="10" max="10" width="4.7109375" customWidth="1"/>
    <col min="11" max="11" width="13.42578125" style="5" customWidth="1"/>
    <col min="12" max="12" width="4.7109375" style="5" customWidth="1"/>
    <col min="13" max="13" width="13.42578125" style="5" customWidth="1"/>
    <col min="14" max="14" width="3.42578125" customWidth="1"/>
  </cols>
  <sheetData>
    <row r="1" spans="2:14" ht="17.25" customHeight="1" x14ac:dyDescent="0.25"/>
    <row r="2" spans="2:14" ht="47.25" customHeight="1" x14ac:dyDescent="0.25">
      <c r="F2" s="70" t="s">
        <v>90</v>
      </c>
      <c r="G2" s="70"/>
      <c r="H2" s="70"/>
      <c r="I2" s="70"/>
      <c r="J2" s="70"/>
      <c r="K2" s="70"/>
      <c r="L2" s="70"/>
      <c r="M2" s="70"/>
      <c r="N2" s="70"/>
    </row>
    <row r="3" spans="2:14" ht="8.25" customHeight="1" x14ac:dyDescent="0.25">
      <c r="B3" s="20"/>
      <c r="C3" s="20"/>
      <c r="D3" s="20"/>
      <c r="E3" s="20"/>
      <c r="F3" s="20"/>
      <c r="G3" s="21"/>
      <c r="H3" s="22"/>
      <c r="I3" s="22"/>
      <c r="J3" s="22"/>
      <c r="K3" s="22"/>
      <c r="L3" s="22"/>
      <c r="M3" s="22"/>
      <c r="N3" s="22"/>
    </row>
    <row r="4" spans="2:14" ht="8.25" customHeight="1" x14ac:dyDescent="0.25">
      <c r="G4" s="58"/>
      <c r="H4" s="59"/>
      <c r="I4" s="59"/>
      <c r="J4" s="59"/>
      <c r="K4" s="59"/>
      <c r="L4" s="59"/>
      <c r="M4" s="59"/>
      <c r="N4" s="59"/>
    </row>
    <row r="5" spans="2:14" ht="21" x14ac:dyDescent="0.3">
      <c r="B5" s="6" t="s">
        <v>21</v>
      </c>
      <c r="D5" s="29"/>
      <c r="E5" s="29"/>
      <c r="F5" s="80"/>
      <c r="G5" s="81"/>
      <c r="H5" s="82"/>
      <c r="I5" s="59"/>
      <c r="J5" s="59"/>
      <c r="K5" s="59"/>
      <c r="L5" s="59"/>
      <c r="M5" s="59"/>
      <c r="N5" s="59"/>
    </row>
    <row r="6" spans="2:14" ht="8.25" customHeight="1" x14ac:dyDescent="0.25">
      <c r="G6" s="58"/>
      <c r="H6" s="59"/>
      <c r="I6" s="59"/>
      <c r="J6" s="59"/>
      <c r="K6" s="59"/>
      <c r="L6" s="59"/>
      <c r="M6" s="59"/>
      <c r="N6" s="59"/>
    </row>
    <row r="7" spans="2:14" ht="12" customHeight="1" x14ac:dyDescent="0.25">
      <c r="B7" s="72"/>
      <c r="C7" s="72"/>
      <c r="D7" s="72"/>
      <c r="E7" s="72"/>
      <c r="F7" s="72"/>
      <c r="G7" s="72"/>
      <c r="H7" s="72"/>
      <c r="I7" s="72"/>
      <c r="J7" s="72"/>
      <c r="K7" s="72"/>
      <c r="L7" s="72"/>
      <c r="M7" s="72"/>
      <c r="N7" s="72"/>
    </row>
    <row r="8" spans="2:14" ht="19.5" customHeight="1" x14ac:dyDescent="0.25">
      <c r="I8" s="46" t="s">
        <v>75</v>
      </c>
      <c r="K8" s="46" t="s">
        <v>76</v>
      </c>
      <c r="M8" s="46" t="s">
        <v>77</v>
      </c>
    </row>
    <row r="9" spans="2:14" ht="18" customHeight="1" x14ac:dyDescent="0.3">
      <c r="C9" s="6" t="s">
        <v>15</v>
      </c>
      <c r="D9" s="29"/>
      <c r="E9" s="29"/>
      <c r="F9" s="29"/>
      <c r="G9" s="29"/>
      <c r="H9" s="29"/>
      <c r="I9" s="45" t="s">
        <v>82</v>
      </c>
      <c r="K9" s="45" t="s">
        <v>82</v>
      </c>
      <c r="L9" s="23"/>
      <c r="M9" s="45" t="s">
        <v>82</v>
      </c>
      <c r="N9" s="29"/>
    </row>
    <row r="10" spans="2:14" ht="6" customHeight="1" x14ac:dyDescent="0.25"/>
    <row r="11" spans="2:14" ht="15.75" thickBot="1" x14ac:dyDescent="0.3">
      <c r="B11" s="1" t="s">
        <v>7</v>
      </c>
      <c r="C11" s="2"/>
      <c r="D11" s="2"/>
      <c r="E11" s="2"/>
      <c r="F11" s="2"/>
      <c r="G11" s="4" t="s">
        <v>3</v>
      </c>
      <c r="H11" s="3"/>
      <c r="I11" s="4" t="s">
        <v>78</v>
      </c>
      <c r="J11" s="3"/>
      <c r="K11" s="4" t="s">
        <v>79</v>
      </c>
      <c r="L11" s="4"/>
      <c r="M11" s="4" t="s">
        <v>80</v>
      </c>
      <c r="N11" s="2"/>
    </row>
    <row r="12" spans="2:14" ht="9" customHeight="1" x14ac:dyDescent="0.25"/>
    <row r="13" spans="2:14" ht="21.75" customHeight="1" x14ac:dyDescent="0.25">
      <c r="B13" s="10" t="s">
        <v>1</v>
      </c>
      <c r="C13" s="73"/>
      <c r="D13" s="73"/>
      <c r="E13" s="11"/>
      <c r="F13" s="11"/>
      <c r="G13" s="12">
        <f>I13+K13+M13</f>
        <v>0</v>
      </c>
      <c r="H13" s="11"/>
      <c r="I13" s="12">
        <f>IF((OR(F5="2024 Fall Quarter")), (VLOOKUP(I9,Data1!E25:G43, 2, FALSE)), IF((OR(F5="2023 Fall Quarter")), (VLOOKUP(I9, Data1!E25:G43, 3, FALSE)), 0))</f>
        <v>0</v>
      </c>
      <c r="J13" s="11"/>
      <c r="K13" s="12">
        <f>IF((OR(F5="2024 Fall Quarter")), (VLOOKUP(K9,Data1!E25:G43, 2, FALSE)), IF((OR(F5="2023 Fall Quarter")), (VLOOKUP(K9, Data1!E25:G43, 3, FALSE)), 0))</f>
        <v>0</v>
      </c>
      <c r="L13" s="12"/>
      <c r="M13" s="12">
        <f>IF((OR(F5="2024 Fall Quarter")), (VLOOKUP(M9,Data1!E25:G43, 2, FALSE)), IF((OR(F5="2023 Fall Quarter")), (VLOOKUP(M9, Data1!E25:G43, 3, FALSE)), 0))</f>
        <v>0</v>
      </c>
      <c r="N13" s="11"/>
    </row>
    <row r="14" spans="2:14" ht="21.75" customHeight="1" x14ac:dyDescent="0.25">
      <c r="B14" s="35" t="s">
        <v>0</v>
      </c>
    </row>
    <row r="15" spans="2:14" ht="21.75" customHeight="1" x14ac:dyDescent="0.25">
      <c r="B15" s="13" t="s">
        <v>2</v>
      </c>
      <c r="C15" s="11"/>
      <c r="D15" s="11"/>
      <c r="E15" s="11"/>
      <c r="F15" s="11"/>
      <c r="G15" s="12">
        <f>I15+K15+M15</f>
        <v>0</v>
      </c>
      <c r="H15" s="11"/>
      <c r="I15" s="12">
        <f>VLOOKUP(I9,Data1!E25:H43, 4, FALSE)</f>
        <v>0</v>
      </c>
      <c r="J15" s="11"/>
      <c r="K15" s="12">
        <f>VLOOKUP(K9, Data1!E25:H43, 4, FALSE)</f>
        <v>0</v>
      </c>
      <c r="L15" s="12"/>
      <c r="M15" s="12">
        <f>VLOOKUP(M9, Data1!E25:H43, 4, FALSE)</f>
        <v>0</v>
      </c>
      <c r="N15" s="11"/>
    </row>
    <row r="16" spans="2:14" ht="21.75" customHeight="1" x14ac:dyDescent="0.25">
      <c r="B16" s="39" t="s">
        <v>17</v>
      </c>
      <c r="G16" s="5" t="e">
        <f>I16+K16+M16</f>
        <v>#N/A</v>
      </c>
      <c r="I16" s="5" t="e">
        <f>VLOOKUP(I9,Data1!E26:I43, 5, FALSE)</f>
        <v>#N/A</v>
      </c>
      <c r="K16" s="5" t="e">
        <f>VLOOKUP(K9, Data1!E26:I43, 5, FALSE)</f>
        <v>#N/A</v>
      </c>
      <c r="M16" s="5" t="e">
        <f>VLOOKUP(M9, Data1!A3:D22, 4, FALSE)</f>
        <v>#N/A</v>
      </c>
    </row>
    <row r="17" spans="2:14" ht="21.75" customHeight="1" x14ac:dyDescent="0.25">
      <c r="B17" s="75" t="s">
        <v>57</v>
      </c>
      <c r="C17" s="75"/>
      <c r="D17" s="76"/>
      <c r="E17" s="31"/>
      <c r="F17" s="11"/>
      <c r="G17" s="30">
        <f>I17+K17+M17</f>
        <v>0</v>
      </c>
      <c r="H17" s="11"/>
      <c r="I17" s="30">
        <f>IF(AND(E17="Yes", I9&lt;&gt;"not enrolled"), (VLOOKUP(E17,Data1!A25:C26, 2, FALSE)), 0)</f>
        <v>0</v>
      </c>
      <c r="J17" s="11"/>
      <c r="K17" s="30">
        <v>0</v>
      </c>
      <c r="L17" s="30"/>
      <c r="M17" s="30">
        <f>IF(AND(E17="Yes", M9&lt;&gt;"not enrolled"), (VLOOKUP(E17,Data1!A25:C26, 2, FALSE)), 0)</f>
        <v>0</v>
      </c>
      <c r="N17" s="11"/>
    </row>
    <row r="18" spans="2:14" ht="21.75" customHeight="1" x14ac:dyDescent="0.25">
      <c r="B18" s="77" t="s">
        <v>83</v>
      </c>
      <c r="C18" s="77"/>
      <c r="D18" s="77"/>
      <c r="E18" s="60"/>
      <c r="F18" s="7"/>
      <c r="G18" s="32">
        <f>I18+K18+M18</f>
        <v>0</v>
      </c>
      <c r="H18" s="7"/>
      <c r="I18" s="62">
        <f>IF(AND(I9&lt;&gt;"select", I9&lt;&gt;"not enrolled",I9&lt;&gt;"4 credits",I9&lt;&gt;"5 credits",I9&lt;&gt;"6 credits",I9&lt;&gt;"7 credits"), 241, 0)</f>
        <v>0</v>
      </c>
      <c r="J18" s="7"/>
      <c r="K18" s="62">
        <f>IF(AND(K9&lt;&gt;"select", K9&lt;&gt;"not enrolled",K9&lt;&gt;"4 credits",K9&lt;&gt;"5 credits",K9&lt;&gt;"6 credits",K9&lt;&gt;"7 credits"), 241, 0)</f>
        <v>0</v>
      </c>
      <c r="L18" s="32"/>
      <c r="M18" s="62">
        <f>IF(AND(M9&lt;&gt;"select", M9&lt;&gt;"not enrolled",M9&lt;&gt;"4 credits",M9&lt;&gt;"5 credits",M9&lt;&gt;"6 credits",M9&lt;&gt;"7 credits"), 241, 0)</f>
        <v>0</v>
      </c>
      <c r="N18" s="7"/>
    </row>
    <row r="19" spans="2:14" ht="21.75" customHeight="1" x14ac:dyDescent="0.25">
      <c r="C19" s="8" t="s">
        <v>6</v>
      </c>
      <c r="G19" s="9" t="e">
        <f>SUM(G13, G15:G18)</f>
        <v>#N/A</v>
      </c>
      <c r="I19" s="9" t="e">
        <f>SUM(I13,I15:I18)</f>
        <v>#N/A</v>
      </c>
      <c r="K19" s="9" t="e">
        <f>SUM(K13,K15:K18)</f>
        <v>#N/A</v>
      </c>
      <c r="L19" s="9"/>
      <c r="M19" s="9" t="e">
        <f>SUM(M13,M15:M18)</f>
        <v>#N/A</v>
      </c>
    </row>
    <row r="20" spans="2:14" ht="24" customHeight="1" x14ac:dyDescent="0.25"/>
    <row r="21" spans="2:14" ht="15.75" thickBot="1" x14ac:dyDescent="0.3">
      <c r="B21" s="1" t="s">
        <v>11</v>
      </c>
      <c r="C21" s="2"/>
      <c r="D21" s="2"/>
      <c r="E21" s="2"/>
      <c r="F21" s="2"/>
      <c r="G21" s="4" t="s">
        <v>3</v>
      </c>
      <c r="H21" s="3"/>
      <c r="I21" s="4" t="s">
        <v>78</v>
      </c>
      <c r="J21" s="3"/>
      <c r="K21" s="4" t="s">
        <v>79</v>
      </c>
      <c r="L21" s="4"/>
      <c r="M21" s="4" t="s">
        <v>80</v>
      </c>
      <c r="N21" s="2"/>
    </row>
    <row r="22" spans="2:14" ht="21.75" customHeight="1" x14ac:dyDescent="0.25">
      <c r="B22" t="s">
        <v>16</v>
      </c>
      <c r="G22" s="16"/>
      <c r="I22" s="5">
        <f>IF((AND(I9&lt;&gt;"not enrolled", K9&lt;&gt;"not enrolled", M9&lt;&gt;"not enrolled")), (G22/3), IF((AND(I9&lt;&gt;"not enrolled", K9&lt;&gt;"not enrolled", M9="not enrolled")), (G22/2), IF((AND(I9&lt;&gt;"not enrolled", K9="not enrolled", M9="not enrolled")), (G22/1), 0)))</f>
        <v>0</v>
      </c>
      <c r="K22" s="5">
        <f>IF((AND(I9&lt;&gt;"not enrolled", K9&lt;&gt;"not enrolled", M9&lt;&gt;"not enrolled")), (G22/3), IF((AND(I9&lt;&gt;"not enrolled", K9&lt;&gt;"not enrolled", M9="not enrolled")), (G22/2), IF((AND(I9="not enrolled", K9&lt;&gt;"not enrolled", M9&lt;&gt;"not enrolled")), (G22/2), 0)))</f>
        <v>0</v>
      </c>
      <c r="M22" s="5">
        <f>IF((AND(I9&lt;&gt;"not enrolled", K9&lt;&gt;"not enrolled", M9&lt;&gt;"not enrolled")), (G22/3), IF((AND(I9="not enrolled", K9&lt;&gt;"not enrolled", M9&lt;&gt;"not enrolled")), (G22/2), IF((AND(I9="not enrolled", K9="not enrolled", M9&lt;&gt;"not enrolled")), (G22), 0)))</f>
        <v>0</v>
      </c>
    </row>
    <row r="23" spans="2:14" ht="21.75" customHeight="1" x14ac:dyDescent="0.25">
      <c r="B23" s="11" t="s">
        <v>8</v>
      </c>
      <c r="C23" s="11"/>
      <c r="D23" s="11"/>
      <c r="E23" s="11"/>
      <c r="F23" s="11"/>
      <c r="G23" s="17"/>
      <c r="H23" s="11"/>
      <c r="I23" s="12">
        <f>IF((AND(I9&lt;&gt;"not enrolled", K9&lt;&gt;"not enrolled", M9&lt;&gt;"not enrolled")), (G23/3), IF((AND(I9&lt;&gt;"not enrolled", K9&lt;&gt;"not enrolled", M9="not enrolled")), (G23/2), IF((AND(I9&lt;&gt;"not enrolled", K9="not enrolled", M9="not enrolled")), (G23/1), 0)))</f>
        <v>0</v>
      </c>
      <c r="J23" s="11"/>
      <c r="K23" s="12">
        <f>IF((AND(I9&lt;&gt;"not enrolled", K9&lt;&gt;"not enrolled", M9&lt;&gt;"not enrolled")), (G23/3), IF((AND(I9&lt;&gt;"not enrolled", K9&lt;&gt;"not enrolled", M9="not enrolled")), (G23/2), IF((AND(I9="not enrolled", K9&lt;&gt;"not enrolled", M9&lt;&gt;"not enrolled")), (G23/2), 0)))</f>
        <v>0</v>
      </c>
      <c r="L23" s="12"/>
      <c r="M23" s="12">
        <f>IF((AND(I9&lt;&gt;"not enrolled", K9&lt;&gt;"not enrolled", M9&lt;&gt;"not enrolled")), (G23/3), IF((AND(I9="not enrolled", K9&lt;&gt;"not enrolled", M9&lt;&gt;"not enrolled")), (G23/2), IF((AND(I9="not enrolled", K9="not enrolled", M9&lt;&gt;"not enrolled")), (G23), 0)))</f>
        <v>0</v>
      </c>
      <c r="N23" s="11"/>
    </row>
    <row r="24" spans="2:14" ht="21.75" customHeight="1" x14ac:dyDescent="0.25">
      <c r="B24" t="s">
        <v>84</v>
      </c>
      <c r="E24" s="18"/>
      <c r="G24" s="5">
        <f>SUM(I24,K24,M24)</f>
        <v>0</v>
      </c>
      <c r="I24" s="5">
        <f>IF((AND(I9&lt;&gt;"not enrolled", K9&lt;&gt;"not enrolled", M9&lt;&gt;"not enrolled")), ROUND(((E24-(E24*0.01057))/3),0), IF((AND(I9&lt;&gt;"not enrolled", K9&lt;&gt;"not enrolled", M9="not enrolled")), ROUND(((E24-(E24*0.01057))/2),0), IF((AND(I9&lt;&gt;"not enrolled", K9="not enrolled", M9="not enrolled")), ROUND(((E24-(E24*0.01057))/1),0), 0)))</f>
        <v>0</v>
      </c>
      <c r="K24" s="5">
        <f>IF((AND(I9&lt;&gt;"not enrolled", K9&lt;&gt;"not enrolled", M9&lt;&gt;"not enrolled")), ROUND(((E24-(E24*0.01057))/3),0), IF((AND(I9&lt;&gt;"not enrolled", K9&lt;&gt;"not enrolled", M9="not enrolled")), ROUND(((E24-(E24*0.01057))/2),0), IF((AND(I9="not enrolled", K9&lt;&gt;"not enrolled", M9&lt;&gt;"not enrolled")), ROUND(((E24-(E24*0.01057))/2),0), 0)))</f>
        <v>0</v>
      </c>
      <c r="M24" s="5">
        <f>IF((AND(I9&lt;&gt;"not enrolled", K9&lt;&gt;"not enrolled", M9&lt;&gt;"not enrolled")), ROUND(((E24-(E24*0.01057))/3),0), IF((AND(I9="not enrolled", K9&lt;&gt;"not enrolled", M9&lt;&gt;"not enrolled")), ROUND(((E24-(E24*0.01057))/2),0), IF((AND(I9="not enrolled", K9="not enrolled", M9&lt;&gt;"not enrolled")), ROUND(((E24-(E24*0.01057))/1),0), 0)))</f>
        <v>0</v>
      </c>
    </row>
    <row r="25" spans="2:14" ht="21.75" customHeight="1" x14ac:dyDescent="0.25">
      <c r="B25" s="11" t="s">
        <v>85</v>
      </c>
      <c r="C25" s="11"/>
      <c r="D25" s="11"/>
      <c r="E25" s="18"/>
      <c r="F25" s="11"/>
      <c r="G25" s="12">
        <f>SUM(I25,K25,M25)</f>
        <v>0</v>
      </c>
      <c r="H25" s="11"/>
      <c r="I25" s="12">
        <f>IF((AND(I9&lt;&gt;"not enrolled", K9&lt;&gt;"not enrolled", M9&lt;&gt;"not enrolled")), ROUND(((E25-(E25*0.04228))/3),0), IF((AND(I9&lt;&gt;"not enrolled", K9&lt;&gt;"not enrolled", M9="not enrolled")), ROUND(((E25-(E25*0.04228))/2),0), IF((AND(I9&lt;&gt;"not enrolled", K9="not enrolled", M9="not enrolled")), ROUND(((E25-(E25*0.04228))/1),0), 0)))</f>
        <v>0</v>
      </c>
      <c r="J25" s="11"/>
      <c r="K25" s="12">
        <f>IF((AND(I9&lt;&gt;"not enrolled", K9&lt;&gt;"not enrolled", M9&lt;&gt;"not enrolled")), ROUND(((E25-(E25*0.04228))/3),0), IF((AND(I9&lt;&gt;"not enrolled", K9&lt;&gt;"not enrolled", M9="not enrolled")), ROUND(((E25-(E25*0.04228))/2),0), IF((AND(I9="not enrolled", K9&lt;&gt;"not enrolled", M9&lt;&gt;"not enrolled")), ROUND(((E25-(E25*0.04228))/2),0), 0)))</f>
        <v>0</v>
      </c>
      <c r="L25" s="12"/>
      <c r="M25" s="12">
        <f>IF((AND(I9&lt;&gt;"not enrolled", K9&lt;&gt;"not enrolled", M9&lt;&gt;"not enrolled")), ROUND(((E25-(E25*0.04228))/3),0), IF((AND(I9="not enrolled", K9&lt;&gt;"not enrolled", M9&lt;&gt;"not enrolled")), ROUND(((E25-(E25*0.04228))/2),0), IF((AND(I9="not enrolled", K9="not enrolled", M9&lt;&gt;"not enrolled")), ROUND(((E25-(E25*0.04228))/1),0), 0)))</f>
        <v>0</v>
      </c>
      <c r="N25" s="11"/>
    </row>
    <row r="26" spans="2:14" ht="21.75" customHeight="1" x14ac:dyDescent="0.25">
      <c r="B26" s="68" t="s">
        <v>23</v>
      </c>
      <c r="C26" s="68"/>
      <c r="D26" s="68"/>
      <c r="E26" s="68"/>
      <c r="G26" s="17"/>
      <c r="I26" s="5">
        <f>IF((AND(I9&lt;&gt;"not enrolled", K9&lt;&gt;"not enrolled", M9&lt;&gt;"not enrolled")), (G26/3), IF((AND(I9&lt;&gt;"not enrolled", K9&lt;&gt;"not enrolled", M9="not enrolled")), (G26/2), IF((AND(I9&lt;&gt;"not enrolled", K9="not enrolled", M9="not enrolled")), (G26/1), 0)))</f>
        <v>0</v>
      </c>
      <c r="K26" s="5">
        <f>IF((AND(I9&lt;&gt;"not enrolled", K9&lt;&gt;"not enrolled", M9&lt;&gt;"not enrolled")), (G26/3), IF((AND(I9&lt;&gt;"not enrolled", K9&lt;&gt;"not enrolled", M9="not enrolled")), (G26/2), IF((AND(I9="not enrolled", K9&lt;&gt;"not enrolled", M9&lt;&gt;"not enrolled")), (G26/2), 0)))</f>
        <v>0</v>
      </c>
      <c r="M26" s="5">
        <f>IF((AND(I9&lt;&gt;"not enrolled", K9&lt;&gt;"not enrolled", M9&lt;&gt;"not enrolled")), (G26/3), IF((AND(I9="not enrolled", K9&lt;&gt;"not enrolled", M9&lt;&gt;"not enrolled")), (G26/2), IF((AND(I9="not enrolled", K9="not enrolled", M9&lt;&gt;"not enrolled")), (G26), 0)))</f>
        <v>0</v>
      </c>
    </row>
    <row r="27" spans="2:14" ht="21.75" customHeight="1" x14ac:dyDescent="0.25">
      <c r="B27" s="74" t="s">
        <v>24</v>
      </c>
      <c r="C27" s="74"/>
      <c r="D27" s="74"/>
      <c r="E27" s="74"/>
      <c r="F27" s="74"/>
      <c r="G27" s="28">
        <f>I27+K27+M27</f>
        <v>0</v>
      </c>
      <c r="H27" s="27"/>
      <c r="I27" s="19"/>
      <c r="J27" s="27"/>
      <c r="K27" s="19"/>
      <c r="L27" s="33"/>
      <c r="M27" s="24"/>
      <c r="N27" s="27"/>
    </row>
    <row r="28" spans="2:14" ht="21.75" customHeight="1" x14ac:dyDescent="0.25">
      <c r="C28" s="8" t="s">
        <v>10</v>
      </c>
      <c r="G28" s="5">
        <f>SUM(G22:G27)</f>
        <v>0</v>
      </c>
      <c r="I28" s="5">
        <f>SUM(I22:I27)</f>
        <v>0</v>
      </c>
      <c r="K28" s="5">
        <f>SUM(K22:K26,K27)</f>
        <v>0</v>
      </c>
      <c r="M28" s="5">
        <f>SUM(M22:M26,M27)</f>
        <v>0</v>
      </c>
    </row>
    <row r="29" spans="2:14" ht="15.75" thickBot="1" x14ac:dyDescent="0.3"/>
    <row r="30" spans="2:14" ht="21.75" customHeight="1" thickTop="1" thickBot="1" x14ac:dyDescent="0.35">
      <c r="B30" s="15" t="s">
        <v>12</v>
      </c>
      <c r="C30" s="14"/>
      <c r="D30" s="14"/>
      <c r="E30" s="14"/>
      <c r="F30" s="14"/>
      <c r="G30" s="25" t="e">
        <f>G19-G28</f>
        <v>#N/A</v>
      </c>
      <c r="H30" s="26"/>
      <c r="I30" s="25" t="e">
        <f>I19-I28</f>
        <v>#N/A</v>
      </c>
      <c r="J30" s="26"/>
      <c r="K30" s="25" t="e">
        <f>K19-K28</f>
        <v>#N/A</v>
      </c>
      <c r="L30" s="25"/>
      <c r="M30" s="25" t="e">
        <f>M19-M28</f>
        <v>#N/A</v>
      </c>
      <c r="N30" s="14"/>
    </row>
    <row r="31" spans="2:14" ht="15.75" thickTop="1" x14ac:dyDescent="0.25"/>
    <row r="32" spans="2:14" x14ac:dyDescent="0.25">
      <c r="B32" s="8" t="s">
        <v>13</v>
      </c>
    </row>
    <row r="33" spans="1:15" ht="21.75" customHeight="1" x14ac:dyDescent="0.25">
      <c r="A33" s="51">
        <v>1</v>
      </c>
      <c r="B33" s="69" t="str">
        <f>IF((OR(F5="2024 Fall Quarter")), Data1!P6, IF((OR(F5="2023 Fall Quarter")), Data1!P5, "Please choose a starting term for your cohort above."))</f>
        <v>Please choose a starting term for your cohort above.</v>
      </c>
      <c r="C33" s="69"/>
      <c r="D33" s="69"/>
      <c r="E33" s="69"/>
      <c r="F33" s="69"/>
      <c r="G33" s="69"/>
      <c r="H33" s="69"/>
      <c r="I33" s="69"/>
      <c r="J33" s="69"/>
      <c r="K33" s="69"/>
      <c r="L33" s="69"/>
      <c r="M33" s="69"/>
      <c r="N33" s="69"/>
      <c r="O33" s="69"/>
    </row>
    <row r="34" spans="1:15" ht="17.45" customHeight="1" x14ac:dyDescent="0.25">
      <c r="A34" s="51">
        <v>2</v>
      </c>
      <c r="B34" s="68" t="s">
        <v>58</v>
      </c>
      <c r="C34" s="68"/>
      <c r="D34" s="68"/>
      <c r="E34" s="68"/>
      <c r="F34" s="68"/>
      <c r="G34" s="68"/>
      <c r="H34" s="68"/>
      <c r="I34" s="68"/>
      <c r="J34" s="68"/>
      <c r="K34" s="68"/>
      <c r="L34" s="68"/>
      <c r="M34" s="68"/>
      <c r="N34" s="68"/>
    </row>
    <row r="35" spans="1:15" ht="30" customHeight="1" x14ac:dyDescent="0.25">
      <c r="A35" s="61">
        <v>3</v>
      </c>
      <c r="B35" s="69" t="s">
        <v>115</v>
      </c>
      <c r="C35" s="69"/>
      <c r="D35" s="69"/>
      <c r="E35" s="69"/>
      <c r="F35" s="69"/>
      <c r="G35" s="69"/>
      <c r="H35" s="69"/>
      <c r="I35" s="69"/>
      <c r="J35" s="69"/>
      <c r="K35" s="69"/>
      <c r="L35" s="69"/>
      <c r="M35" s="69"/>
      <c r="N35" s="69"/>
    </row>
    <row r="36" spans="1:15" ht="31.15" customHeight="1" x14ac:dyDescent="0.25">
      <c r="A36" s="61">
        <v>4</v>
      </c>
      <c r="B36" s="69" t="s">
        <v>88</v>
      </c>
      <c r="C36" s="69"/>
      <c r="D36" s="69"/>
      <c r="E36" s="69"/>
      <c r="F36" s="69"/>
      <c r="G36" s="69"/>
      <c r="H36" s="69"/>
      <c r="I36" s="69"/>
      <c r="J36" s="69"/>
      <c r="K36" s="69"/>
      <c r="L36" s="69"/>
      <c r="M36" s="69"/>
      <c r="N36" s="69"/>
    </row>
    <row r="37" spans="1:15" ht="44.45" customHeight="1" x14ac:dyDescent="0.25">
      <c r="A37" s="61">
        <v>5</v>
      </c>
      <c r="B37" s="69" t="s">
        <v>96</v>
      </c>
      <c r="C37" s="69"/>
      <c r="D37" s="69"/>
      <c r="E37" s="69"/>
      <c r="F37" s="69"/>
      <c r="G37" s="69"/>
      <c r="H37" s="69"/>
      <c r="I37" s="69"/>
      <c r="J37" s="69"/>
      <c r="K37" s="69"/>
      <c r="L37" s="69"/>
      <c r="M37" s="69"/>
      <c r="N37" s="69"/>
    </row>
    <row r="38" spans="1:15" ht="21.75" customHeight="1" x14ac:dyDescent="0.25"/>
    <row r="40" spans="1:15" x14ac:dyDescent="0.25">
      <c r="B40" s="64" t="s">
        <v>14</v>
      </c>
      <c r="C40" s="64"/>
      <c r="D40" s="64"/>
      <c r="E40" s="64"/>
      <c r="F40" s="64"/>
      <c r="G40" s="64"/>
      <c r="H40" s="64"/>
      <c r="I40" s="64"/>
      <c r="J40" s="64"/>
      <c r="K40" s="64"/>
      <c r="L40" s="64"/>
      <c r="M40" s="64"/>
      <c r="N40" s="64"/>
    </row>
  </sheetData>
  <sheetProtection algorithmName="SHA-512" hashValue="dQNE/9WgyN+PtaKsldV617x/DHl0/jAoOLiU0uNQoIH1EWgm4Bj6v5/9G+md2M/5tJjwcGkIdPVTI0oUfCqV8A==" saltValue="yOfKJQf+JW9U2sZQ1xUNxA==" spinCount="100000" sheet="1" selectLockedCells="1"/>
  <mergeCells count="14">
    <mergeCell ref="B37:N37"/>
    <mergeCell ref="B40:N40"/>
    <mergeCell ref="B26:E26"/>
    <mergeCell ref="F2:N2"/>
    <mergeCell ref="B7:N7"/>
    <mergeCell ref="C13:D13"/>
    <mergeCell ref="B17:D17"/>
    <mergeCell ref="B18:D18"/>
    <mergeCell ref="F5:H5"/>
    <mergeCell ref="B35:N35"/>
    <mergeCell ref="B36:N36"/>
    <mergeCell ref="B27:F27"/>
    <mergeCell ref="B33:O33"/>
    <mergeCell ref="B34:N34"/>
  </mergeCells>
  <hyperlinks>
    <hyperlink ref="B17" r:id="rId1" display="Will you enroll in DU's health insurance plan?" xr:uid="{00000000-0004-0000-0300-000000000000}"/>
    <hyperlink ref="B18" r:id="rId2" display="Will you use DU Health &amp; Counseling Services? " xr:uid="{00000000-0004-0000-03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Data1!$A$25:$A$26</xm:f>
          </x14:formula1>
          <xm:sqref>E17</xm:sqref>
        </x14:dataValidation>
        <x14:dataValidation type="list" allowBlank="1" showInputMessage="1" showErrorMessage="1" xr:uid="{00000000-0002-0000-0300-000001000000}">
          <x14:formula1>
            <xm:f>Data1!$E$25:$E$43</xm:f>
          </x14:formula1>
          <xm:sqref>M9 I9 K9</xm:sqref>
        </x14:dataValidation>
        <x14:dataValidation type="list" allowBlank="1" showInputMessage="1" showErrorMessage="1" xr:uid="{7ED411FF-D562-4F00-9FAC-7C1B46B1C88E}">
          <x14:formula1>
            <xm:f>Data1!$A$31:$A$32</xm:f>
          </x14:formula1>
          <xm:sqref>F5:H5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35"/>
  <sheetViews>
    <sheetView showGridLines="0" showRowColHeaders="0" showRuler="0" zoomScaleNormal="100" workbookViewId="0">
      <selection activeCell="I6" sqref="I6"/>
    </sheetView>
  </sheetViews>
  <sheetFormatPr defaultColWidth="8.85546875" defaultRowHeight="15" x14ac:dyDescent="0.25"/>
  <cols>
    <col min="1" max="1" width="4.140625" customWidth="1"/>
    <col min="4" max="4" width="26.140625"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65" t="s">
        <v>97</v>
      </c>
      <c r="H2" s="65"/>
      <c r="I2" s="65"/>
      <c r="J2" s="65"/>
      <c r="K2" s="65"/>
      <c r="L2" s="65"/>
      <c r="M2" s="65"/>
      <c r="N2" s="65"/>
      <c r="O2" s="65"/>
    </row>
    <row r="3" spans="2:15" ht="8.25" customHeight="1" x14ac:dyDescent="0.25">
      <c r="B3" s="20"/>
      <c r="C3" s="20"/>
      <c r="D3" s="20"/>
      <c r="E3" s="20"/>
      <c r="F3" s="20"/>
      <c r="G3" s="21"/>
      <c r="H3" s="22"/>
      <c r="I3" s="22"/>
      <c r="J3" s="22"/>
      <c r="K3" s="22"/>
      <c r="L3" s="22"/>
      <c r="M3" s="22"/>
      <c r="N3" s="22"/>
      <c r="O3" s="22"/>
    </row>
    <row r="4" spans="2:15" ht="9.75" customHeight="1" x14ac:dyDescent="0.25"/>
    <row r="5" spans="2:15" ht="15" customHeight="1" x14ac:dyDescent="0.25">
      <c r="I5" s="57" t="s">
        <v>75</v>
      </c>
      <c r="K5" s="57" t="s">
        <v>76</v>
      </c>
      <c r="L5" s="34"/>
      <c r="M5" s="57" t="s">
        <v>77</v>
      </c>
      <c r="N5" s="34"/>
      <c r="O5" s="57" t="s">
        <v>98</v>
      </c>
    </row>
    <row r="6" spans="2:15" ht="18" customHeight="1" x14ac:dyDescent="0.3">
      <c r="C6" s="6" t="s">
        <v>45</v>
      </c>
      <c r="E6" s="29"/>
      <c r="F6" s="29"/>
      <c r="G6" s="29"/>
      <c r="H6" s="29"/>
      <c r="I6" s="54" t="s">
        <v>82</v>
      </c>
      <c r="K6" s="55" t="s">
        <v>82</v>
      </c>
      <c r="L6"/>
      <c r="M6" s="56" t="s">
        <v>82</v>
      </c>
      <c r="N6"/>
      <c r="O6" s="56" t="s">
        <v>82</v>
      </c>
    </row>
    <row r="7" spans="2:15" ht="18.75" customHeight="1" x14ac:dyDescent="0.25"/>
    <row r="8" spans="2:15" ht="15.75" thickBot="1" x14ac:dyDescent="0.3">
      <c r="B8" s="1" t="s">
        <v>7</v>
      </c>
      <c r="C8" s="2"/>
      <c r="D8" s="2"/>
      <c r="E8" s="2"/>
      <c r="F8" s="2"/>
      <c r="G8" s="4" t="s">
        <v>3</v>
      </c>
      <c r="H8" s="3"/>
      <c r="I8" s="4" t="s">
        <v>78</v>
      </c>
      <c r="J8" s="3"/>
      <c r="K8" s="4" t="s">
        <v>79</v>
      </c>
      <c r="L8" s="4"/>
      <c r="M8" s="4" t="s">
        <v>80</v>
      </c>
      <c r="N8" s="4"/>
      <c r="O8" s="4" t="s">
        <v>99</v>
      </c>
    </row>
    <row r="9" spans="2:15" ht="9" customHeight="1" x14ac:dyDescent="0.25"/>
    <row r="10" spans="2:15" ht="21.75" customHeight="1" x14ac:dyDescent="0.25">
      <c r="B10" s="10" t="s">
        <v>1</v>
      </c>
      <c r="C10" s="73"/>
      <c r="D10" s="73"/>
      <c r="E10" s="11"/>
      <c r="F10" s="11"/>
      <c r="G10" s="12" t="e">
        <f>I10+K10+M10+O10</f>
        <v>#N/A</v>
      </c>
      <c r="H10" s="11"/>
      <c r="I10" s="12" t="e">
        <f>VLOOKUP(I6,Data1!K26:M43,3,FALSE)</f>
        <v>#N/A</v>
      </c>
      <c r="J10" s="11"/>
      <c r="K10" s="12" t="e">
        <f>VLOOKUP(K6,Data1!K26:M43,3,FALSE)</f>
        <v>#N/A</v>
      </c>
      <c r="L10" s="12"/>
      <c r="M10" s="12" t="e">
        <f>VLOOKUP(M6,Data1!K26:M43,3,FALSE)</f>
        <v>#N/A</v>
      </c>
      <c r="N10" s="12"/>
      <c r="O10" s="12" t="e">
        <f>VLOOKUP(O6,Data1!K26:M43,3,FALSE)</f>
        <v>#N/A</v>
      </c>
    </row>
    <row r="11" spans="2:15" ht="21.75" customHeight="1" x14ac:dyDescent="0.25">
      <c r="B11" s="35" t="s">
        <v>2</v>
      </c>
      <c r="G11" s="36" t="e">
        <f>I11+K11+M11+O11</f>
        <v>#N/A</v>
      </c>
      <c r="I11" s="36" t="e">
        <f>VLOOKUP(I6,Data1!K26:N43,4,FALSE)</f>
        <v>#N/A</v>
      </c>
      <c r="K11" s="36" t="e">
        <f>VLOOKUP(K6,Data1!K26:N43,4,FALSE)</f>
        <v>#N/A</v>
      </c>
      <c r="L11" s="36"/>
      <c r="M11" s="36" t="e">
        <f>VLOOKUP(M6,Data1!K26:N43,4,FALSE)</f>
        <v>#N/A</v>
      </c>
      <c r="N11" s="36"/>
      <c r="O11" s="36" t="e">
        <f>VLOOKUP(O6,Data1!K26:N43,4,FALSE)</f>
        <v>#N/A</v>
      </c>
    </row>
    <row r="12" spans="2:15" ht="21.75" customHeight="1" x14ac:dyDescent="0.25">
      <c r="B12" s="75" t="s">
        <v>57</v>
      </c>
      <c r="C12" s="75"/>
      <c r="D12" s="76"/>
      <c r="E12" s="31"/>
      <c r="F12" s="11"/>
      <c r="G12" s="30">
        <f>I12+K12+M12+O12</f>
        <v>0</v>
      </c>
      <c r="H12" s="11"/>
      <c r="I12" s="30">
        <f>IF(AND(I6&lt;&gt;"not enrolled", E12="Yes"), (VLOOKUP(E12, Data1!A25:C26, 2, FALSE)), 0)</f>
        <v>0</v>
      </c>
      <c r="J12" s="11"/>
      <c r="K12" s="30">
        <v>0</v>
      </c>
      <c r="L12" s="30"/>
      <c r="M12" s="30">
        <f>IF(AND(M6&lt;&gt;"not enrolled", E12="Yes"), (VLOOKUP(E12, Data1!A25:C26, 2, FALSE)), 0)</f>
        <v>0</v>
      </c>
      <c r="N12" s="11"/>
      <c r="O12" s="37">
        <v>0</v>
      </c>
    </row>
    <row r="13" spans="2:15" ht="21.75" customHeight="1" x14ac:dyDescent="0.25">
      <c r="B13" s="77" t="s">
        <v>83</v>
      </c>
      <c r="C13" s="77"/>
      <c r="D13" s="77"/>
      <c r="E13" s="60"/>
      <c r="F13" s="7"/>
      <c r="G13" s="32">
        <f>I13+K13+M13+O13</f>
        <v>0</v>
      </c>
      <c r="H13" s="7"/>
      <c r="I13" s="62">
        <f>IF(AND(I6&lt;&gt;"select", I6&lt;&gt;"not enrolled",I6&lt;&gt;"4 credits",I6&lt;&gt;"5 credits",I6&lt;&gt;"6 credits",I6&lt;&gt;"7 credits"), 241, 0)</f>
        <v>0</v>
      </c>
      <c r="J13" s="7"/>
      <c r="K13" s="62">
        <f>IF(AND(K6&lt;&gt;"select", K6&lt;&gt;"not enrolled",K6&lt;&gt;"4 credits",K6&lt;&gt;"5 credits",K6&lt;&gt;"6 credits",K6&lt;&gt;"7 credits"), 241, 0)</f>
        <v>0</v>
      </c>
      <c r="L13" s="32"/>
      <c r="M13" s="62">
        <f>IF(AND(M6&lt;&gt;"select", M6&lt;&gt;"not enrolled",M6&lt;&gt;"4 credits",M6&lt;&gt;"5 credits",M6&lt;&gt;"6 credits",M6&lt;&gt;"7 credits"), 241, 0)</f>
        <v>0</v>
      </c>
      <c r="N13" s="7"/>
      <c r="O13" s="63">
        <f>IF(AND(O6&lt;&gt;"select", O6&lt;&gt;"not enrolled",O6&lt;&gt;"4 credits",O6&lt;&gt;"5 credits",O6&lt;&gt;"6 credits",O6&lt;&gt;"7 credits"), 241, 0)</f>
        <v>0</v>
      </c>
    </row>
    <row r="14" spans="2:15" ht="21.75" customHeight="1" x14ac:dyDescent="0.25">
      <c r="C14" s="8" t="s">
        <v>6</v>
      </c>
      <c r="G14" s="9" t="e">
        <f>SUM(G10:G13)</f>
        <v>#N/A</v>
      </c>
      <c r="I14" s="9" t="e">
        <f>SUM(I10:I13)</f>
        <v>#N/A</v>
      </c>
      <c r="K14" s="9" t="e">
        <f>SUM(K10:K13)</f>
        <v>#N/A</v>
      </c>
      <c r="L14" s="9"/>
      <c r="M14" s="9" t="e">
        <f>SUM(M10:M13)</f>
        <v>#N/A</v>
      </c>
      <c r="N14" s="9"/>
      <c r="O14" s="9" t="e">
        <f>SUM(O10:O13)</f>
        <v>#N/A</v>
      </c>
    </row>
    <row r="15" spans="2:15" ht="24" customHeight="1" x14ac:dyDescent="0.25"/>
    <row r="16" spans="2:15" ht="15.75" thickBot="1" x14ac:dyDescent="0.3">
      <c r="B16" s="1" t="s">
        <v>11</v>
      </c>
      <c r="C16" s="2"/>
      <c r="D16" s="2"/>
      <c r="E16" s="2"/>
      <c r="F16" s="2"/>
      <c r="G16" s="4" t="s">
        <v>3</v>
      </c>
      <c r="H16" s="3"/>
      <c r="I16" s="4" t="s">
        <v>78</v>
      </c>
      <c r="J16" s="3"/>
      <c r="K16" s="4" t="s">
        <v>79</v>
      </c>
      <c r="L16" s="4"/>
      <c r="M16" s="4" t="s">
        <v>80</v>
      </c>
      <c r="N16" s="4"/>
      <c r="O16" s="4" t="s">
        <v>99</v>
      </c>
    </row>
    <row r="17" spans="2:15" ht="21.75" customHeight="1" x14ac:dyDescent="0.25">
      <c r="B17" t="s">
        <v>16</v>
      </c>
      <c r="G17" s="16"/>
      <c r="I17" s="5">
        <f>IF((AND(I6&lt;&gt;"not enrolled",K6&lt;&gt;"not enrolled",M6&lt;&gt;"not enrolled",O6&lt;&gt;"not enrolled")),(G17/4), IF((AND(I6&lt;&gt;"not enrolled",K6&lt;&gt;"not enrolled",M6&lt;&gt;"not enrolled",O6="not enrolled")),(G17/3), IF((AND(I6&lt;&gt;"not enrolled",K6&lt;&gt;"not enrolled",M6="not enrolled",O6="not enrolled")),(G17/2), IF((AND(I6&lt;&gt;"not enrolled",K6="not enrolled",M6="not enrolled",O6="not enrolled")),(G17/1), 0))))</f>
        <v>0</v>
      </c>
      <c r="K17" s="5">
        <f>IF((AND(I6&lt;&gt;"not enrolled",K6&lt;&gt;"not enrolled",M6&lt;&gt;"not enrolled",O6&lt;&gt;"not enrolled")),(G17/4), IF((AND(I6&lt;&gt;"not enrolled",K6&lt;&gt;"not enrolled",M6&lt;&gt;"not enrolled",O6="not enrolled")),(G17/3), IF((AND(I6="not enrolled",K6&lt;&gt;"not enrolled",M6&lt;&gt;"not enrolled",O6&lt;&gt;"not enrolled")),(G17/3), IF((AND(I6&lt;&gt;"not enrolled",K6&lt;&gt;"not enrolled",M6="not enrolled",O6="not enrolled")),(G17/2), 0))))</f>
        <v>0</v>
      </c>
      <c r="M17" s="5">
        <f>IF((AND(I6&lt;&gt;"not enrolled",K6&lt;&gt;"not enrolled",M6&lt;&gt;"not enrolled",O6&lt;&gt;"not enrolled")),(G17/4), IF((AND(I6&lt;&gt;"not enrolled",K6&lt;&gt;"not enrolled",M6&lt;&gt;"not enrolled",O6="not enrolled")),(G17/3), IF((AND(I6="not enrolled",K6&lt;&gt;"not enrolled",M6&lt;&gt;"not enrolled",O6&lt;&gt;"not enrolled")),(G17/3), IF((AND(I6="not enrolled",K6="not enrolled",M6&lt;&gt;"not enrolled",O6&lt;&gt;"not enrolled")),(G17/2), 0))))</f>
        <v>0</v>
      </c>
      <c r="O17" s="5">
        <f>IF((AND(I6&lt;&gt;"not enrolled",K6&lt;&gt;"not enrolled",M6&lt;&gt;"not enrolled",O6&lt;&gt;"not enrolled")),(G17/4), IF((AND(I6="not enrolled",K6&lt;&gt;"not enrolled",M6&lt;&gt;"not enrolled",O6&lt;&gt;"not enrolled")),(G17/3), IF((AND(I6="not enrolled",K6="not enrolled",M6&lt;&gt;"not enrolled",O6&lt;&gt;"not enrolled")),(G17/2),  IF((AND(I6="not enrolled",K6="not enrolled",M6="not enrolled",O6&lt;&gt;"not enrolled")),(G17), 0))))</f>
        <v>0</v>
      </c>
    </row>
    <row r="18" spans="2:15" ht="21.75" customHeight="1" x14ac:dyDescent="0.25">
      <c r="B18" s="11" t="s">
        <v>8</v>
      </c>
      <c r="C18" s="11"/>
      <c r="D18" s="11"/>
      <c r="E18" s="11"/>
      <c r="F18" s="11"/>
      <c r="G18" s="17"/>
      <c r="H18" s="11"/>
      <c r="I18" s="12">
        <f>IF((AND(I6&lt;&gt;"not enrolled",K6&lt;&gt;"not enrolled",M6&lt;&gt;"not enrolled",O6&lt;&gt;"not enrolled")),(G18/4), IF((AND(I6&lt;&gt;"not enrolled",K6&lt;&gt;"not enrolled",M6&lt;&gt;"not enrolled",O6="not enrolled")),(G18/3), IF((AND(I6&lt;&gt;"not enrolled",K6&lt;&gt;"not enrolled",M6="not enrolled",O6="not enrolled")),(G18/2), IF((AND(I6&lt;&gt;"not enrolled",K6="not enrolled",M6="not enrolled",O6="not enrolled")),(G18/1), 0))))</f>
        <v>0</v>
      </c>
      <c r="J18" s="11"/>
      <c r="K18" s="12">
        <f>IF((AND(I6&lt;&gt;"not enrolled",K6&lt;&gt;"not enrolled",M6&lt;&gt;"not enrolled",O6&lt;&gt;"not enrolled")),(G18/4), IF((AND(I6&lt;&gt;"not enrolled",K6&lt;&gt;"not enrolled",M6&lt;&gt;"not enrolled",O6="not enrolled")),(G18/3), IF((AND(I6="not enrolled",K6&lt;&gt;"not enrolled",M6&lt;&gt;"not enrolled",O6&lt;&gt;"not enrolled")),(G18/3), IF((AND(I6&lt;&gt;"not enrolled",K6&lt;&gt;"not enrolled",M6="not enrolled",O6="not enrolled")),(G18/2), 0))))</f>
        <v>0</v>
      </c>
      <c r="L18" s="12"/>
      <c r="M18" s="12">
        <f>IF((AND(I6&lt;&gt;"not enrolled",K6&lt;&gt;"not enrolled",M6&lt;&gt;"not enrolled",O6&lt;&gt;"not enrolled")),(G18/4), IF((AND(I6&lt;&gt;"not enrolled",K6&lt;&gt;"not enrolled",M6&lt;&gt;"not enrolled",O6="not enrolled")),(G18/3), IF((AND(I6="not enrolled",K6&lt;&gt;"not enrolled",M6&lt;&gt;"not enrolled",O6&lt;&gt;"not enrolled")),(G18/3), IF((AND(I6="not enrolled",K6="not enrolled",M6&lt;&gt;"not enrolled",O6&lt;&gt;"not enrolled")),(G18/2), 0))))</f>
        <v>0</v>
      </c>
      <c r="N18" s="12"/>
      <c r="O18" s="12">
        <f>IF((AND(I6&lt;&gt;"not enrolled",K6&lt;&gt;"not enrolled",M6&lt;&gt;"not enrolled",O6&lt;&gt;"not enrolled")),(G18/4), IF((AND(I6="not enrolled",K6&lt;&gt;"not enrolled",M6&lt;&gt;"not enrolled",O6&lt;&gt;"not enrolled")),(G18/3), IF((AND(I6="not enrolled",K6="not enrolled",M6&lt;&gt;"not enrolled",O6&lt;&gt;"not enrolled")),(G18/2),  IF((AND(I6="not enrolled",K6="not enrolled",M6="not enrolled",O6&lt;&gt;"not enrolled")),(G18), 0))))</f>
        <v>0</v>
      </c>
    </row>
    <row r="19" spans="2:15" ht="21.75" customHeight="1" x14ac:dyDescent="0.25">
      <c r="B19" t="s">
        <v>84</v>
      </c>
      <c r="E19" s="18"/>
      <c r="G19" s="5">
        <f>SUM(I19,K19,M19,O19)</f>
        <v>0</v>
      </c>
      <c r="I19" s="5">
        <f>IF((AND(I6&lt;&gt;"not enrolled",K6&lt;&gt;"not enrolled",M6&lt;&gt;"not enrolled",O6&lt;&gt;"not enrolled")), ROUND(((E19-(E19*0.01057))/4),0), IF((AND(I6&lt;&gt;"not enrolled",K6&lt;&gt;"not enrolled",M6&lt;&gt;"not enrolled",O6="not enrolled")),ROUND(((E19-(E19*0.01057))/3),0), IF((AND(I6&lt;&gt;"not enrolled",K6&lt;&gt;"not enrolled",M6="not enrolled",O6="not enrolled")),ROUND(((E19-(E19*0.01057))/2),0), IF((AND(I6&lt;&gt;"not enrolled",K6="not enrolled",M6="not enrolled",O6="not enrolled")),ROUND(((E19-(E19*0.01057))/1),0), 0))))</f>
        <v>0</v>
      </c>
      <c r="K19" s="5">
        <f>IF((AND(I6&lt;&gt;"not enrolled",K6&lt;&gt;"not enrolled",M6&lt;&gt;"not enrolled",O6&lt;&gt;"not enrolled")),ROUND(((E19-(E19*0.01057))/4),0), IF((AND(I6&lt;&gt;"not enrolled",K6&lt;&gt;"not enrolled",M6&lt;&gt;"not enrolled",O6="not enrolled")),ROUND(((E19-(E19*0.01057))/3),0), IF((AND(I6="not enrolled",K6&lt;&gt;"not enrolled",M6&lt;&gt;"not enrolled",O6&lt;&gt;"not enrolled")),ROUND(((E19-(E19*0.01057))/3),0), IF((AND(I6&lt;&gt;"not enrolled",K6&lt;&gt;"not enrolled",M6="not enrolled",O6="not enrolled")),ROUND(((E19-(E19*0.01057))/2),0), 0))))</f>
        <v>0</v>
      </c>
      <c r="M19" s="5">
        <f>IF((AND(I6&lt;&gt;"not enrolled",K6&lt;&gt;"not enrolled",M6&lt;&gt;"not enrolled",O6&lt;&gt;"not enrolled")),ROUND(((E19-(E19*0.01057))/4),0), IF((AND(I6&lt;&gt;"not enrolled",K6&lt;&gt;"not enrolled",M6&lt;&gt;"not enrolled",O6="not enrolled")),ROUND(((E19-(E19*0.01057))/3),0), IF((AND(I6="not enrolled",K6&lt;&gt;"not enrolled",M6&lt;&gt;"not enrolled",O6&lt;&gt;"not enrolled")),ROUND(((E19-(E19*0.01057))/3),0), IF((AND(I6="not enrolled",K6="not enrolled",M6&lt;&gt;"not enrolled",O6&lt;&gt;"not enrolled")),ROUND(((E19-(E19*0.01057))/2),0), 0))))</f>
        <v>0</v>
      </c>
      <c r="O19" s="5">
        <f>IF((AND(I6&lt;&gt;"not enrolled",K6&lt;&gt;"not enrolled",M6&lt;&gt;"not enrolled",O6&lt;&gt;"not enrolled")),ROUND(((E19-(E19*0.01057))/4),0), IF((AND(I6="not enrolled",K6&lt;&gt;"not enrolled",M6&lt;&gt;"not enrolled",O6&lt;&gt;"not enrolled")),ROUND(((E19-(E19*0.01057))/3),0), IF((AND(I6="not enrolled",K6="not enrolled",M6&lt;&gt;"not enrolled",O6&lt;&gt;"not enrolled")),ROUND(((E19-(E19*0.01057))/2),0),  IF((AND(I6="not enrolled",K6="not enrolled",M6="not enrolled",O6&lt;&gt;"not enrolled")),ROUND(((E19-(E19*0.01057))/1),0), 0))))</f>
        <v>0</v>
      </c>
    </row>
    <row r="20" spans="2:15" ht="21.75" customHeight="1" x14ac:dyDescent="0.25">
      <c r="B20" s="11" t="s">
        <v>85</v>
      </c>
      <c r="C20" s="11"/>
      <c r="D20" s="11"/>
      <c r="E20" s="18"/>
      <c r="F20" s="11"/>
      <c r="G20" s="12">
        <f>SUM(I20,K20,M20,O20)</f>
        <v>0</v>
      </c>
      <c r="H20" s="11"/>
      <c r="I20" s="12">
        <f>IF((AND(I6&lt;&gt;"not enrolled",K6&lt;&gt;"not enrolled",M6&lt;&gt;"not enrolled",O6&lt;&gt;"not enrolled")), ROUND(((E20-(E20*0.04228))/4),0), IF((AND(I6&lt;&gt;"not enrolled",K6&lt;&gt;"not enrolled",M6&lt;&gt;"not enrolled",O6="not enrolled")),ROUND(((E20-(E20*0.04228))/3),0), IF((AND(I6&lt;&gt;"not enrolled",K6&lt;&gt;"not enrolled",M6="not enrolled",O6="not enrolled")),ROUND(((E20-(E20*0.04228))/2),0), IF((AND(I6&lt;&gt;"not enrolled",K6="not enrolled",M6="not enrolled",O6="not enrolled")),ROUND(((E20-(E20*0.04228))/1),0), 0))))</f>
        <v>0</v>
      </c>
      <c r="J20" s="11"/>
      <c r="K20" s="12">
        <f>IF((AND(I6&lt;&gt;"not enrolled",K6&lt;&gt;"not enrolled",M6&lt;&gt;"not enrolled",O6&lt;&gt;"not enrolled")),ROUND(((E20-(E20*0.04228))/4),0), IF((AND(I6&lt;&gt;"not enrolled",K6&lt;&gt;"not enrolled",M6&lt;&gt;"not enrolled",O6="not enrolled")),ROUND(((E20-(E20*0.04228))/3),0), IF((AND(I6="not enrolled",K6&lt;&gt;"not enrolled",M6&lt;&gt;"not enrolled",O6&lt;&gt;"not enrolled")),ROUND(((E20-(E20*0.04228))/3),0), IF((AND(I6&lt;&gt;"not enrolled",K6&lt;&gt;"not enrolled",M6="not enrolled",O6="not enrolled")),ROUND(((E20-(E20*0.04228))/2),0), 0))))</f>
        <v>0</v>
      </c>
      <c r="L20" s="12"/>
      <c r="M20" s="12">
        <f>IF((AND(I6&lt;&gt;"not enrolled",K6&lt;&gt;"not enrolled",M6&lt;&gt;"not enrolled",O6&lt;&gt;"not enrolled")),ROUND(((E20-(E20*0.04228))/4),0), IF((AND(I6&lt;&gt;"not enrolled",K6&lt;&gt;"not enrolled",M6&lt;&gt;"not enrolled",O6="not enrolled")),ROUND(((E20-(E20*0.04228))/3),0), IF((AND(I6="not enrolled",K6&lt;&gt;"not enrolled",M6&lt;&gt;"not enrolled",O6&lt;&gt;"not enrolled")),ROUND(((E20-(E20*0.04228))/3),0), IF((AND(I6="not enrolled",K6="not enrolled",M6&lt;&gt;"not enrolled",O6&lt;&gt;"not enrolled")),ROUND(((E20-(E20*0.04228))/2),0), 0))))</f>
        <v>0</v>
      </c>
      <c r="N20" s="12"/>
      <c r="O20" s="12">
        <f>IF((AND(I6&lt;&gt;"not enrolled",K6&lt;&gt;"not enrolled",M6&lt;&gt;"not enrolled",O6&lt;&gt;"not enrolled")),ROUND(((E20-(E20*0.04228))/4),0), IF((AND(I6="not enrolled",K6&lt;&gt;"not enrolled",M6&lt;&gt;"not enrolled",O6&lt;&gt;"not enrolled")),ROUND(((E20-(E20*0.04228))/3),0), IF((AND(I6="not enrolled",K6="not enrolled",M6&lt;&gt;"not enrolled",O6&lt;&gt;"not enrolled")),ROUND(((E20-(E20*0.04228))/2),0),  IF((AND(I6="not enrolled",K6="not enrolled",M6="not enrolled",O6&lt;&gt;"not enrolled")),ROUND(((E20-(E20*0.04228))/1),0), 0))))</f>
        <v>0</v>
      </c>
    </row>
    <row r="21" spans="2:15" ht="21.75" customHeight="1" x14ac:dyDescent="0.25">
      <c r="B21" t="s">
        <v>9</v>
      </c>
      <c r="G21" s="17"/>
      <c r="I21" s="5">
        <f>IF((AND(I6&lt;&gt;"not enrolled",K6&lt;&gt;"not enrolled",M6&lt;&gt;"not enrolled",O6&lt;&gt;"not enrolled")),(G21/4), IF((AND(I6&lt;&gt;"not enrolled",K6&lt;&gt;"not enrolled",M6&lt;&gt;"not enrolled",O6="not enrolled")),(G21/3), IF((AND(I6&lt;&gt;"not enrolled",K6&lt;&gt;"not enrolled",M6="not enrolled",O6="not enrolled")),(G21/2), IF((AND(I6&lt;&gt;"not enrolled",K6="not enrolled",M6="not enrolled",O6="not enrolled")),(G21/1), 0))))</f>
        <v>0</v>
      </c>
      <c r="K21" s="5">
        <f>IF((AND(I6&lt;&gt;"not enrolled",K6&lt;&gt;"not enrolled",M6&lt;&gt;"not enrolled",O6&lt;&gt;"not enrolled")),(G21/4), IF((AND(I6&lt;&gt;"not enrolled",K6&lt;&gt;"not enrolled",M6&lt;&gt;"not enrolled",O6="not enrolled")),(G21/3), IF((AND(I6="not enrolled",K6&lt;&gt;"not enrolled",M6&lt;&gt;"not enrolled",O6&lt;&gt;"not enrolled")),(G21/3), IF((AND(I6&lt;&gt;"not enrolled",K6&lt;&gt;"not enrolled",M6="not enrolled",O6="not enrolled")),(G21/2), 0))))</f>
        <v>0</v>
      </c>
      <c r="M21" s="5">
        <f>IF((AND(I6&lt;&gt;"not enrolled",K6&lt;&gt;"not enrolled",M6&lt;&gt;"not enrolled",O6&lt;&gt;"not enrolled")),(G21/4), IF((AND(I6&lt;&gt;"not enrolled",K6&lt;&gt;"not enrolled",M6&lt;&gt;"not enrolled",O6="not enrolled")),(G21/3), IF((AND(I6="not enrolled",K6&lt;&gt;"not enrolled",M6&lt;&gt;"not enrolled",O6&lt;&gt;"not enrolled")),(G21/3), IF((AND(I6="not enrolled",K6="not enrolled",M6&lt;&gt;"not enrolled",O6&lt;&gt;"not enrolled")),(G21/2), 0))))</f>
        <v>0</v>
      </c>
      <c r="O21" s="5">
        <f>IF((AND(I6&lt;&gt;"not enrolled",K6&lt;&gt;"not enrolled",M6&lt;&gt;"not enrolled",O6&lt;&gt;"not enrolled")),(G21/4), IF((AND(I6="not enrolled",K6&lt;&gt;"not enrolled",M6&lt;&gt;"not enrolled",O6&lt;&gt;"not enrolled")),(G21/3), IF((AND(I6="not enrolled",K6="not enrolled",M6&lt;&gt;"not enrolled",O6&lt;&gt;"not enrolled")),(G21/2),  IF((AND(I6="not enrolled",K6="not enrolled",M6="not enrolled",O6&lt;&gt;"not enrolled")),(G21), 0))))</f>
        <v>0</v>
      </c>
    </row>
    <row r="22" spans="2:15" ht="21.75" customHeight="1" x14ac:dyDescent="0.25">
      <c r="B22" s="74" t="s">
        <v>24</v>
      </c>
      <c r="C22" s="74"/>
      <c r="D22" s="74"/>
      <c r="E22" s="74"/>
      <c r="F22" s="74"/>
      <c r="G22" s="28">
        <f>I22+K22+M22+O22</f>
        <v>0</v>
      </c>
      <c r="H22" s="27"/>
      <c r="I22" s="19"/>
      <c r="J22" s="27"/>
      <c r="K22" s="19"/>
      <c r="L22" s="33"/>
      <c r="M22" s="19"/>
      <c r="N22" s="33"/>
      <c r="O22" s="19"/>
    </row>
    <row r="23" spans="2:15" ht="21.75" customHeight="1" x14ac:dyDescent="0.25">
      <c r="C23" s="8" t="s">
        <v>10</v>
      </c>
      <c r="G23" s="5">
        <f>SUM(G17:G22)</f>
        <v>0</v>
      </c>
      <c r="I23" s="5">
        <f>SUM(I17:I22)</f>
        <v>0</v>
      </c>
      <c r="K23" s="5">
        <f>SUM(K17:K22)</f>
        <v>0</v>
      </c>
      <c r="M23" s="5">
        <f>SUM(M17:M22)</f>
        <v>0</v>
      </c>
      <c r="O23" s="5">
        <f>SUM(O17:O22)</f>
        <v>0</v>
      </c>
    </row>
    <row r="24" spans="2:15" ht="15.75" thickBot="1" x14ac:dyDescent="0.3"/>
    <row r="25" spans="2:15" ht="21.75" customHeight="1" thickTop="1" thickBot="1" x14ac:dyDescent="0.35">
      <c r="B25" s="15" t="s">
        <v>12</v>
      </c>
      <c r="C25" s="14"/>
      <c r="D25" s="14"/>
      <c r="E25" s="14"/>
      <c r="F25" s="14"/>
      <c r="G25" s="25" t="e">
        <f>G14-G23</f>
        <v>#N/A</v>
      </c>
      <c r="H25" s="26"/>
      <c r="I25" s="25" t="e">
        <f>I14-I23</f>
        <v>#N/A</v>
      </c>
      <c r="J25" s="26"/>
      <c r="K25" s="25" t="e">
        <f>K14-K23</f>
        <v>#N/A</v>
      </c>
      <c r="L25" s="25"/>
      <c r="M25" s="25" t="e">
        <f>M14-M23</f>
        <v>#N/A</v>
      </c>
      <c r="N25" s="25"/>
      <c r="O25" s="25" t="e">
        <f>O14-O23</f>
        <v>#N/A</v>
      </c>
    </row>
    <row r="26" spans="2:15" ht="15.75" thickTop="1" x14ac:dyDescent="0.25"/>
    <row r="27" spans="2:15" x14ac:dyDescent="0.25">
      <c r="B27" s="8" t="s">
        <v>13</v>
      </c>
    </row>
    <row r="28" spans="2:15" ht="22.9" customHeight="1" x14ac:dyDescent="0.25">
      <c r="B28" s="71" t="s">
        <v>100</v>
      </c>
      <c r="C28" s="69"/>
      <c r="D28" s="69"/>
      <c r="E28" s="69"/>
      <c r="F28" s="69"/>
      <c r="G28" s="69"/>
      <c r="H28" s="69"/>
      <c r="I28" s="69"/>
      <c r="J28" s="69"/>
      <c r="K28" s="69"/>
      <c r="L28" s="69"/>
      <c r="M28" s="69"/>
      <c r="N28" s="69"/>
      <c r="O28" s="69"/>
    </row>
    <row r="29" spans="2:15" ht="21.75" customHeight="1" x14ac:dyDescent="0.25">
      <c r="B29" s="68" t="s">
        <v>18</v>
      </c>
      <c r="C29" s="68"/>
      <c r="D29" s="68"/>
      <c r="E29" s="68"/>
      <c r="F29" s="68"/>
      <c r="G29" s="68"/>
      <c r="H29" s="68"/>
      <c r="I29" s="68"/>
      <c r="J29" s="68"/>
      <c r="K29" s="68"/>
      <c r="L29" s="68"/>
      <c r="M29" s="68"/>
      <c r="N29" s="68"/>
      <c r="O29" s="68"/>
    </row>
    <row r="30" spans="2:15" ht="46.9" customHeight="1" x14ac:dyDescent="0.25">
      <c r="B30" s="69" t="s">
        <v>116</v>
      </c>
      <c r="C30" s="69"/>
      <c r="D30" s="69"/>
      <c r="E30" s="69"/>
      <c r="F30" s="69"/>
      <c r="G30" s="69"/>
      <c r="H30" s="69"/>
      <c r="I30" s="69"/>
      <c r="J30" s="69"/>
      <c r="K30" s="69"/>
      <c r="L30" s="69"/>
      <c r="M30" s="69"/>
      <c r="N30" s="69"/>
      <c r="O30" s="35"/>
    </row>
    <row r="31" spans="2:15" ht="34.5" customHeight="1" x14ac:dyDescent="0.25">
      <c r="B31" s="69" t="s">
        <v>117</v>
      </c>
      <c r="C31" s="69"/>
      <c r="D31" s="69"/>
      <c r="E31" s="69"/>
      <c r="F31" s="69"/>
      <c r="G31" s="69"/>
      <c r="H31" s="69"/>
      <c r="I31" s="69"/>
      <c r="J31" s="69"/>
      <c r="K31" s="69"/>
      <c r="L31" s="69"/>
      <c r="M31" s="69"/>
      <c r="N31" s="69"/>
      <c r="O31" s="69"/>
    </row>
    <row r="32" spans="2:15" ht="48.6" customHeight="1" x14ac:dyDescent="0.25">
      <c r="B32" s="69" t="s">
        <v>118</v>
      </c>
      <c r="C32" s="69"/>
      <c r="D32" s="69"/>
      <c r="E32" s="69"/>
      <c r="F32" s="69"/>
      <c r="G32" s="69"/>
      <c r="H32" s="69"/>
      <c r="I32" s="69"/>
      <c r="J32" s="69"/>
      <c r="K32" s="69"/>
      <c r="L32" s="69"/>
      <c r="M32" s="69"/>
      <c r="N32" s="69"/>
      <c r="O32" s="69"/>
    </row>
    <row r="33" spans="2:15" ht="21.75" customHeight="1" x14ac:dyDescent="0.25"/>
    <row r="35" spans="2:15" x14ac:dyDescent="0.25">
      <c r="B35" s="64" t="s">
        <v>14</v>
      </c>
      <c r="C35" s="64"/>
      <c r="D35" s="64"/>
      <c r="E35" s="64"/>
      <c r="F35" s="64"/>
      <c r="G35" s="64"/>
      <c r="H35" s="64"/>
      <c r="I35" s="64"/>
      <c r="J35" s="64"/>
      <c r="K35" s="64"/>
      <c r="L35" s="64"/>
      <c r="M35" s="64"/>
      <c r="N35" s="64"/>
      <c r="O35" s="64"/>
    </row>
  </sheetData>
  <sheetProtection algorithmName="SHA-512" hashValue="q+YMzG+Dh1EvPujELTkR3abzxpkKnOKlOMPh78tCCH0oOGgmBpZ4mxrYGJn9avofxeUmGYrReOy+GusbP4Ay2w==" saltValue="9OOBwSbrFXNz0g0Ed4axzQ==" spinCount="100000" sheet="1" selectLockedCells="1"/>
  <mergeCells count="11">
    <mergeCell ref="B32:O32"/>
    <mergeCell ref="B35:O35"/>
    <mergeCell ref="G2:O2"/>
    <mergeCell ref="C10:D10"/>
    <mergeCell ref="B22:F22"/>
    <mergeCell ref="B28:O28"/>
    <mergeCell ref="B29:O29"/>
    <mergeCell ref="B12:D12"/>
    <mergeCell ref="B13:D13"/>
    <mergeCell ref="B30:N30"/>
    <mergeCell ref="B31:O31"/>
  </mergeCells>
  <hyperlinks>
    <hyperlink ref="B12" r:id="rId1" display="Will you enroll in DU's health insurance plan?" xr:uid="{00000000-0004-0000-0400-000000000000}"/>
    <hyperlink ref="B13" r:id="rId2" display="Will you use DU Health &amp; Counseling Services? " xr:uid="{00000000-0004-0000-0400-000001000000}"/>
  </hyperlinks>
  <pageMargins left="0.5" right="0.5" top="0.5" bottom="0.5" header="0.3" footer="0.3"/>
  <pageSetup scale="67"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Data1!$A$25:$A$26</xm:f>
          </x14:formula1>
          <xm:sqref>E12</xm:sqref>
        </x14:dataValidation>
        <x14:dataValidation type="list" allowBlank="1" showInputMessage="1" showErrorMessage="1" xr:uid="{00000000-0002-0000-0400-000001000000}">
          <x14:formula1>
            <xm:f>Data1!$K$25:$K$43</xm:f>
          </x14:formula1>
          <xm:sqref>O6 I6 K6 M6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7"/>
  <sheetViews>
    <sheetView showGridLines="0" showRowColHeaders="0" tabSelected="1" showRuler="0" zoomScaleNormal="100" workbookViewId="0">
      <selection activeCell="G5" sqref="G5:I5"/>
    </sheetView>
  </sheetViews>
  <sheetFormatPr defaultColWidth="8.85546875" defaultRowHeight="15" x14ac:dyDescent="0.25"/>
  <cols>
    <col min="1" max="1" width="4.140625" customWidth="1"/>
    <col min="4" max="4" width="26.140625"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65" t="s">
        <v>101</v>
      </c>
      <c r="H2" s="65"/>
      <c r="I2" s="65"/>
      <c r="J2" s="65"/>
      <c r="K2" s="65"/>
      <c r="L2" s="65"/>
      <c r="M2" s="65"/>
      <c r="N2" s="65"/>
      <c r="O2" s="65"/>
    </row>
    <row r="3" spans="2:15" ht="8.25" customHeight="1" x14ac:dyDescent="0.25">
      <c r="B3" s="20"/>
      <c r="C3" s="20"/>
      <c r="D3" s="20"/>
      <c r="E3" s="20"/>
      <c r="F3" s="20"/>
      <c r="G3" s="21"/>
      <c r="H3" s="22"/>
      <c r="I3" s="22"/>
      <c r="J3" s="22"/>
      <c r="K3" s="22"/>
      <c r="L3" s="22"/>
      <c r="M3" s="22"/>
      <c r="N3" s="22"/>
      <c r="O3" s="22"/>
    </row>
    <row r="4" spans="2:15" ht="9.75" customHeight="1" x14ac:dyDescent="0.25"/>
    <row r="5" spans="2:15" ht="18.75" customHeight="1" x14ac:dyDescent="0.3">
      <c r="C5" s="6" t="s">
        <v>21</v>
      </c>
      <c r="D5" s="29"/>
      <c r="E5" s="29"/>
      <c r="G5" s="83"/>
      <c r="H5" s="84"/>
      <c r="I5" s="85"/>
    </row>
    <row r="6" spans="2:15" ht="9.75" customHeight="1" x14ac:dyDescent="0.25"/>
    <row r="7" spans="2:15" ht="15" customHeight="1" x14ac:dyDescent="0.25">
      <c r="I7" s="57" t="s">
        <v>75</v>
      </c>
      <c r="K7" s="57" t="s">
        <v>76</v>
      </c>
      <c r="L7" s="34"/>
      <c r="M7" s="57" t="s">
        <v>77</v>
      </c>
      <c r="N7" s="34"/>
      <c r="O7" s="57" t="s">
        <v>98</v>
      </c>
    </row>
    <row r="8" spans="2:15" ht="18" customHeight="1" x14ac:dyDescent="0.3">
      <c r="C8" s="6" t="s">
        <v>45</v>
      </c>
      <c r="E8" s="29"/>
      <c r="F8" s="29"/>
      <c r="G8" s="29"/>
      <c r="H8" s="29"/>
      <c r="I8" s="54" t="s">
        <v>82</v>
      </c>
      <c r="K8" s="55" t="s">
        <v>82</v>
      </c>
      <c r="L8"/>
      <c r="M8" s="56" t="s">
        <v>82</v>
      </c>
      <c r="N8"/>
      <c r="O8" s="56" t="s">
        <v>82</v>
      </c>
    </row>
    <row r="9" spans="2:15" ht="18.75" customHeight="1" x14ac:dyDescent="0.25"/>
    <row r="10" spans="2:15" ht="15.75" thickBot="1" x14ac:dyDescent="0.3">
      <c r="B10" s="1" t="s">
        <v>7</v>
      </c>
      <c r="C10" s="2"/>
      <c r="D10" s="2"/>
      <c r="E10" s="2"/>
      <c r="F10" s="2"/>
      <c r="G10" s="4" t="s">
        <v>3</v>
      </c>
      <c r="H10" s="3"/>
      <c r="I10" s="4" t="s">
        <v>68</v>
      </c>
      <c r="J10" s="3"/>
      <c r="K10" s="4" t="s">
        <v>66</v>
      </c>
      <c r="L10" s="4"/>
      <c r="M10" s="4" t="s">
        <v>67</v>
      </c>
      <c r="N10" s="4"/>
      <c r="O10" s="4" t="s">
        <v>69</v>
      </c>
    </row>
    <row r="11" spans="2:15" ht="9" customHeight="1" x14ac:dyDescent="0.25"/>
    <row r="12" spans="2:15" ht="21.75" customHeight="1" x14ac:dyDescent="0.25">
      <c r="B12" s="10" t="s">
        <v>1</v>
      </c>
      <c r="C12" s="73"/>
      <c r="D12" s="73"/>
      <c r="E12" s="11"/>
      <c r="F12" s="11"/>
      <c r="G12" s="12">
        <f>I12+K12+M12+O12</f>
        <v>0</v>
      </c>
      <c r="H12" s="11"/>
      <c r="I12" s="12">
        <f>IF((OR(G5="2023 Fall or 2024 Spring Quarter")), (VLOOKUP(I8,Data1!F2:H22, 2, FALSE)), IF((OR(G5="2024 Fall or 2025 Spring Quarter")), (VLOOKUP(I8, Data1!F2:H22, 3, FALSE)), 0))</f>
        <v>0</v>
      </c>
      <c r="J12" s="11"/>
      <c r="K12" s="12">
        <f>IF((OR(G5="2023 Fall or 2024 Spring Quarter")), (VLOOKUP(K8,Data1!F2:H22, 2, FALSE)), IF((OR(G5="2024 Fall or 2025 Spring Quarter")), (VLOOKUP(K8, Data1!F2:H22, 3, FALSE)), 0))</f>
        <v>0</v>
      </c>
      <c r="L12" s="12"/>
      <c r="M12" s="12">
        <f>IF((OR(G5="2023 Fall or 2024 Spring Quarter")), (VLOOKUP(M8,Data1!F2:H22, 2, FALSE)), IF((OR(G5="2024 Fall or 2025 Spring Quarter")), (VLOOKUP(M8, Data1!F2:H22, 3, FALSE)), 0))</f>
        <v>0</v>
      </c>
      <c r="N12" s="12"/>
      <c r="O12" s="12">
        <f>IF((OR(G5="2023 Fall or 2024 Spring Quarter")), (VLOOKUP(O8,Data1!F2:H22, 2, FALSE)), IF((OR(G5="2024 Fall or 2025 Spring Quarter")), (VLOOKUP(O8, Data1!F2:H22, 3, FALSE)), 0))</f>
        <v>0</v>
      </c>
    </row>
    <row r="13" spans="2:15" ht="21.75" customHeight="1" x14ac:dyDescent="0.25">
      <c r="B13" s="35" t="s">
        <v>2</v>
      </c>
      <c r="G13" s="36">
        <f>I13+K13+M13+O13</f>
        <v>0</v>
      </c>
      <c r="I13" s="36">
        <f>VLOOKUP(I8,Data1!F2:I22,4,FALSE)</f>
        <v>0</v>
      </c>
      <c r="K13" s="36">
        <f>VLOOKUP(K8,Data1!F2:I22,4,FALSE)</f>
        <v>0</v>
      </c>
      <c r="L13" s="36"/>
      <c r="M13" s="36">
        <f>VLOOKUP(M8,Data1!F2:I22,4,FALSE)</f>
        <v>0</v>
      </c>
      <c r="N13" s="36"/>
      <c r="O13" s="36">
        <f>VLOOKUP(O8,Data1!F2:I22,4,FALSE)</f>
        <v>0</v>
      </c>
    </row>
    <row r="14" spans="2:15" ht="21.75" customHeight="1" x14ac:dyDescent="0.25">
      <c r="B14" s="75" t="s">
        <v>57</v>
      </c>
      <c r="C14" s="75"/>
      <c r="D14" s="76"/>
      <c r="E14" s="31"/>
      <c r="F14" s="11"/>
      <c r="G14" s="30">
        <f>I14+K14+M14+O14</f>
        <v>0</v>
      </c>
      <c r="H14" s="11"/>
      <c r="I14" s="30">
        <f>IF(AND(E14="Yes", I8&lt;&gt;"not enrolled"), (VLOOKUP(E14,Data1!A25:C26, 2, FALSE)), 0)</f>
        <v>0</v>
      </c>
      <c r="J14" s="11"/>
      <c r="K14" s="30">
        <v>0</v>
      </c>
      <c r="L14" s="30"/>
      <c r="M14" s="30">
        <f>IF(AND(E14="Yes", M8&lt;&gt;"not enrolled"), (VLOOKUP(E14,Data1!A25:C26, 2, FALSE)), 0)</f>
        <v>0</v>
      </c>
      <c r="N14" s="11"/>
      <c r="O14" s="37">
        <v>0</v>
      </c>
    </row>
    <row r="15" spans="2:15" ht="21.75" customHeight="1" x14ac:dyDescent="0.25">
      <c r="B15" s="77" t="s">
        <v>83</v>
      </c>
      <c r="C15" s="77"/>
      <c r="D15" s="77"/>
      <c r="E15" s="60"/>
      <c r="F15" s="7"/>
      <c r="G15" s="32">
        <f>I15+K15+M15+O15</f>
        <v>0</v>
      </c>
      <c r="H15" s="7"/>
      <c r="I15" s="62">
        <f>IF(AND(I8&lt;&gt;"select", I8&lt;&gt;"not enrolled",I8&lt;&gt;"4 credits",I8&lt;&gt;"5 credits",I8&lt;&gt;"6 credits",I8&lt;&gt;"7 credits"), 241, 0)</f>
        <v>0</v>
      </c>
      <c r="J15" s="7"/>
      <c r="K15" s="62">
        <f>IF(AND(K8&lt;&gt;"select", K8&lt;&gt;"not enrolled",K8&lt;&gt;"4 credits",K8&lt;&gt;"5 credits",K8&lt;&gt;"6 credits",K8&lt;&gt;"7 credits"), 241, 0)</f>
        <v>0</v>
      </c>
      <c r="L15" s="32"/>
      <c r="M15" s="62">
        <f>IF(AND(M8&lt;&gt;"select",M8&lt;&gt;"not enrolled",M8&lt;&gt;"4 credits",M8&lt;&gt;"5 credits",M8&lt;&gt;"6 credits",M8&lt;&gt;"7 credits"), 241, 0)</f>
        <v>0</v>
      </c>
      <c r="N15" s="7"/>
      <c r="O15" s="63">
        <f>IF(AND(O8&lt;&gt;"select",O8&lt;&gt;"not enrolled",O8&lt;&gt;"4 credits",O8&lt;&gt;"5 credits",O8&lt;&gt;"6 credits",O8&lt;&gt;"7 credits"), 241, 0)</f>
        <v>0</v>
      </c>
    </row>
    <row r="16" spans="2:15" ht="21.75" customHeight="1" x14ac:dyDescent="0.25">
      <c r="C16" s="8" t="s">
        <v>6</v>
      </c>
      <c r="G16" s="9">
        <f>SUM(G12:G15)</f>
        <v>0</v>
      </c>
      <c r="I16" s="9">
        <f>SUM(I12:I15)</f>
        <v>0</v>
      </c>
      <c r="K16" s="9">
        <f>SUM(K12:K15)</f>
        <v>0</v>
      </c>
      <c r="L16" s="9"/>
      <c r="M16" s="9">
        <f>SUM(M12:M15)</f>
        <v>0</v>
      </c>
      <c r="N16" s="9"/>
      <c r="O16" s="9">
        <f>SUM(O12:O15)</f>
        <v>0</v>
      </c>
    </row>
    <row r="17" spans="1:15" ht="24" customHeight="1" x14ac:dyDescent="0.25"/>
    <row r="18" spans="1:15" ht="15.75" thickBot="1" x14ac:dyDescent="0.3">
      <c r="B18" s="1" t="s">
        <v>11</v>
      </c>
      <c r="C18" s="2"/>
      <c r="D18" s="2"/>
      <c r="E18" s="2"/>
      <c r="F18" s="2"/>
      <c r="G18" s="4" t="s">
        <v>3</v>
      </c>
      <c r="H18" s="3"/>
      <c r="I18" s="4" t="s">
        <v>68</v>
      </c>
      <c r="J18" s="3"/>
      <c r="K18" s="4" t="s">
        <v>66</v>
      </c>
      <c r="L18" s="4"/>
      <c r="M18" s="4" t="s">
        <v>67</v>
      </c>
      <c r="N18" s="4"/>
      <c r="O18" s="4" t="s">
        <v>69</v>
      </c>
    </row>
    <row r="19" spans="1:15" ht="21.75" customHeight="1" x14ac:dyDescent="0.25">
      <c r="B19" t="s">
        <v>16</v>
      </c>
      <c r="G19" s="16"/>
      <c r="I19" s="5">
        <f>IF((AND(I8&lt;&gt;"not enrolled",K8&lt;&gt;"not enrolled",M8&lt;&gt;"not enrolled",O8&lt;&gt;"not enrolled")),(G19/4), IF((AND(I8&lt;&gt;"not enrolled",K8&lt;&gt;"not enrolled",M8&lt;&gt;"not enrolled",O8="not enrolled")),(G19/3), IF((AND(I8&lt;&gt;"not enrolled",K8&lt;&gt;"not enrolled",M8="not enrolled",O8="not enrolled")),(G19/2), IF((AND(I8&lt;&gt;"not enrolled",K8="not enrolled",M8="not enrolled",O8="not enrolled")),(G19/1), 0))))</f>
        <v>0</v>
      </c>
      <c r="K19" s="5">
        <f>IF((AND(I8&lt;&gt;"not enrolled",K8&lt;&gt;"not enrolled",M8&lt;&gt;"not enrolled",O8&lt;&gt;"not enrolled")),(G19/4), IF((AND(I8&lt;&gt;"not enrolled",K8&lt;&gt;"not enrolled",M8&lt;&gt;"not enrolled",O8="not enrolled")),(G19/3), IF((AND(I8="not enrolled",K8&lt;&gt;"not enrolled",M8&lt;&gt;"not enrolled",O8&lt;&gt;"not enrolled")),(G19/3), IF((AND(I8&lt;&gt;"not enrolled",K8&lt;&gt;"not enrolled",M8="not enrolled",O8="not enrolled")),(G19/2), 0))))</f>
        <v>0</v>
      </c>
      <c r="M19" s="5">
        <f>IF((AND(I8&lt;&gt;"not enrolled",K8&lt;&gt;"not enrolled",M8&lt;&gt;"not enrolled",O8&lt;&gt;"not enrolled")),(G19/4), IF((AND(I8&lt;&gt;"not enrolled",K8&lt;&gt;"not enrolled",M8&lt;&gt;"not enrolled",O8="not enrolled")),(G19/3), IF((AND(I8="not enrolled",K8&lt;&gt;"not enrolled",M8&lt;&gt;"not enrolled",O8&lt;&gt;"not enrolled")),(G19/3), IF((AND(I8="not enrolled",K8="not enrolled",M8&lt;&gt;"not enrolled",O8&lt;&gt;"not enrolled")),(G19/2), 0))))</f>
        <v>0</v>
      </c>
      <c r="O19" s="5">
        <f>IF((AND(I8&lt;&gt;"not enrolled",K8&lt;&gt;"not enrolled",M8&lt;&gt;"not enrolled",O8&lt;&gt;"not enrolled")),(G19/4), IF((AND(I8="not enrolled",K8&lt;&gt;"not enrolled",M8&lt;&gt;"not enrolled",O8&lt;&gt;"not enrolled")),(G19/3), IF((AND(I8="not enrolled",K8="not enrolled",M8&lt;&gt;"not enrolled",O8&lt;&gt;"not enrolled")),(G19/2),  IF((AND(I8="not enrolled",K8="not enrolled",M8="not enrolled",O8&lt;&gt;"not enrolled")),(G19), 0))))</f>
        <v>0</v>
      </c>
    </row>
    <row r="20" spans="1:15" ht="21.75" customHeight="1" x14ac:dyDescent="0.25">
      <c r="B20" s="11" t="s">
        <v>8</v>
      </c>
      <c r="C20" s="11"/>
      <c r="D20" s="11"/>
      <c r="E20" s="11"/>
      <c r="F20" s="11"/>
      <c r="G20" s="17"/>
      <c r="H20" s="11"/>
      <c r="I20" s="12">
        <f>IF((AND(I8&lt;&gt;"not enrolled",K8&lt;&gt;"not enrolled",M8&lt;&gt;"not enrolled",O8&lt;&gt;"not enrolled")),(G20/4), IF((AND(I8&lt;&gt;"not enrolled",K8&lt;&gt;"not enrolled",M8&lt;&gt;"not enrolled",O8="not enrolled")),(G20/3), IF((AND(I8&lt;&gt;"not enrolled",K8&lt;&gt;"not enrolled",M8="not enrolled",O8="not enrolled")),(G20/2), IF((AND(I8&lt;&gt;"not enrolled",K8="not enrolled",M8="not enrolled",O8="not enrolled")),(G20/1), 0))))</f>
        <v>0</v>
      </c>
      <c r="J20" s="11"/>
      <c r="K20" s="12">
        <f>IF((AND(I8&lt;&gt;"not enrolled",K8&lt;&gt;"not enrolled",M8&lt;&gt;"not enrolled",O8&lt;&gt;"not enrolled")),(G20/4), IF((AND(I8&lt;&gt;"not enrolled",K8&lt;&gt;"not enrolled",M8&lt;&gt;"not enrolled",O8="not enrolled")),(G20/3), IF((AND(I8="not enrolled",K8&lt;&gt;"not enrolled",M8&lt;&gt;"not enrolled",O8&lt;&gt;"not enrolled")),(G20/3), IF((AND(I8&lt;&gt;"not enrolled",K8&lt;&gt;"not enrolled",M8="not enrolled",O8="not enrolled")),(G20/2), 0))))</f>
        <v>0</v>
      </c>
      <c r="L20" s="12"/>
      <c r="M20" s="12">
        <f>IF((AND(I8&lt;&gt;"not enrolled",K8&lt;&gt;"not enrolled",M8&lt;&gt;"not enrolled",O8&lt;&gt;"not enrolled")),(G20/4), IF((AND(I8&lt;&gt;"not enrolled",K8&lt;&gt;"not enrolled",M8&lt;&gt;"not enrolled",O8="not enrolled")),(G20/3), IF((AND(I8="not enrolled",K8&lt;&gt;"not enrolled",M8&lt;&gt;"not enrolled",O8&lt;&gt;"not enrolled")),(G20/3), IF((AND(I8="not enrolled",K8="not enrolled",M8&lt;&gt;"not enrolled",O8&lt;&gt;"not enrolled")),(G20/2), 0))))</f>
        <v>0</v>
      </c>
      <c r="N20" s="12"/>
      <c r="O20" s="12">
        <f>IF((AND(I8&lt;&gt;"not enrolled",K8&lt;&gt;"not enrolled",M8&lt;&gt;"not enrolled",O8&lt;&gt;"not enrolled")),(G20/4), IF((AND(I8="not enrolled",K8&lt;&gt;"not enrolled",M8&lt;&gt;"not enrolled",O8&lt;&gt;"not enrolled")),(G20/3), IF((AND(I8="not enrolled",K8="not enrolled",M8&lt;&gt;"not enrolled",O8&lt;&gt;"not enrolled")),(G20/2),  IF((AND(I8="not enrolled",K8="not enrolled",M8="not enrolled",O8&lt;&gt;"not enrolled")),(G20), 0))))</f>
        <v>0</v>
      </c>
    </row>
    <row r="21" spans="1:15" ht="21.75" customHeight="1" x14ac:dyDescent="0.25">
      <c r="B21" t="s">
        <v>84</v>
      </c>
      <c r="E21" s="18"/>
      <c r="G21" s="5">
        <f>SUM(I21,K21,M21,O21)</f>
        <v>0</v>
      </c>
      <c r="I21" s="5">
        <f>IF((AND(I8&lt;&gt;"not enrolled",K8&lt;&gt;"not enrolled",M8&lt;&gt;"not enrolled",O8&lt;&gt;"not enrolled")), ROUND(((E21-(E21*0.01057))/4),0), IF((AND(I8&lt;&gt;"not enrolled",K8&lt;&gt;"not enrolled",M8&lt;&gt;"not enrolled",O8="not enrolled")),ROUND(((E21-(E21*0.01057))/3),0), IF((AND(I8&lt;&gt;"not enrolled",K8&lt;&gt;"not enrolled",M8="not enrolled",O8="not enrolled")),ROUND(((E21-(E21*0.01057))/2),0), IF((AND(I8&lt;&gt;"not enrolled",K8="not enrolled",M8="not enrolled",O8="not enrolled")),ROUND(((E21-(E21*0.01057))/1),0), 0))))</f>
        <v>0</v>
      </c>
      <c r="K21" s="5">
        <f>IF((AND(I8&lt;&gt;"not enrolled",K8&lt;&gt;"not enrolled",M8&lt;&gt;"not enrolled",O8&lt;&gt;"not enrolled")),ROUND(((E21-(E21*0.01057))/4),0), IF((AND(I8&lt;&gt;"not enrolled",K8&lt;&gt;"not enrolled",M8&lt;&gt;"not enrolled",O8="not enrolled")),ROUND(((E21-(E21*0.01057))/3),0), IF((AND(I8="not enrolled",K8&lt;&gt;"not enrolled",M8&lt;&gt;"not enrolled",O8&lt;&gt;"not enrolled")),ROUND(((E21-(E21*0.01057))/3),0), IF((AND(I8&lt;&gt;"not enrolled",K8&lt;&gt;"not enrolled",M8="not enrolled",O8="not enrolled")),ROUND(((E21-(E21*0.01057))/2),0), 0))))</f>
        <v>0</v>
      </c>
      <c r="M21" s="5">
        <f>IF((AND(I8&lt;&gt;"not enrolled",K8&lt;&gt;"not enrolled",M8&lt;&gt;"not enrolled",O8&lt;&gt;"not enrolled")),ROUND(((E21-(E21*0.01057))/4),0), IF((AND(I8&lt;&gt;"not enrolled",K8&lt;&gt;"not enrolled",M8&lt;&gt;"not enrolled",O8="not enrolled")),ROUND(((E21-(E21*0.01057))/3),0), IF((AND(I8="not enrolled",K8&lt;&gt;"not enrolled",M8&lt;&gt;"not enrolled",O8&lt;&gt;"not enrolled")),ROUND(((E21-(E21*0.01057))/3),0), IF((AND(I8="not enrolled",K8="not enrolled",M8&lt;&gt;"not enrolled",O8&lt;&gt;"not enrolled")),ROUND(((E21-(E21*0.01057))/2),0), 0))))</f>
        <v>0</v>
      </c>
      <c r="O21" s="5">
        <f>IF((AND(I8&lt;&gt;"not enrolled",K8&lt;&gt;"not enrolled",M8&lt;&gt;"not enrolled",O8&lt;&gt;"not enrolled")),ROUND(((E21-(E21*0.01057))/4),0), IF((AND(I8="not enrolled",K8&lt;&gt;"not enrolled",M8&lt;&gt;"not enrolled",O8&lt;&gt;"not enrolled")),ROUND(((E21-(E21*0.01057))/3),0), IF((AND(I8="not enrolled",K8="not enrolled",M8&lt;&gt;"not enrolled",O8&lt;&gt;"not enrolled")),ROUND(((E21-(E21*0.01057))/2),0),  IF((AND(I8="not enrolled",K8="not enrolled",M8="not enrolled",O8&lt;&gt;"not enrolled")),ROUND(((E21-(E21*0.01057))/1),0), 0))))</f>
        <v>0</v>
      </c>
    </row>
    <row r="22" spans="1:15" ht="21.75" customHeight="1" x14ac:dyDescent="0.25">
      <c r="B22" s="11" t="s">
        <v>85</v>
      </c>
      <c r="C22" s="11"/>
      <c r="D22" s="11"/>
      <c r="E22" s="18"/>
      <c r="F22" s="11"/>
      <c r="G22" s="12">
        <f>SUM(I22,K22,M22,O22)</f>
        <v>0</v>
      </c>
      <c r="H22" s="11"/>
      <c r="I22" s="12">
        <f>IF((AND(I8&lt;&gt;"not enrolled",K8&lt;&gt;"not enrolled",M8&lt;&gt;"not enrolled",O8&lt;&gt;"not enrolled")), ROUND(((E22-(E22*0.01057))/4),0), IF((AND(I8&lt;&gt;"not enrolled",K8&lt;&gt;"not enrolled",M8&lt;&gt;"not enrolled",O8="not enrolled")),ROUND(((E22-(E22*0.01057))/3),0), IF((AND(I8&lt;&gt;"not enrolled",K8&lt;&gt;"not enrolled",M8="not enrolled",O8="not enrolled")),ROUND(((E22-(E22*0.01057))/2),0), IF((AND(I8&lt;&gt;"not enrolled",K8="not enrolled",M8="not enrolled",O8="not enrolled")),ROUND(((E22-(E22*0.01057))/1),0), 0))))</f>
        <v>0</v>
      </c>
      <c r="J22" s="11"/>
      <c r="K22" s="12">
        <f>IF((AND(I8&lt;&gt;"not enrolled",K8&lt;&gt;"not enrolled",M8&lt;&gt;"not enrolled",O8&lt;&gt;"not enrolled")),ROUND(((E22-(E22*0.01057))/4),0), IF((AND(I8&lt;&gt;"not enrolled",K8&lt;&gt;"not enrolled",M8&lt;&gt;"not enrolled",O8="not enrolled")),ROUND(((E22-(E22*0.01057))/3),0), IF((AND(I8="not enrolled",K8&lt;&gt;"not enrolled",M8&lt;&gt;"not enrolled",O8&lt;&gt;"not enrolled")),ROUND(((E22-(E22*0.01057))/3),0), IF((AND(I8&lt;&gt;"not enrolled",K8&lt;&gt;"not enrolled",M8="not enrolled",O8="not enrolled")),ROUND(((E22-(E22*0.01057))/2),0), 0))))</f>
        <v>0</v>
      </c>
      <c r="L22" s="12"/>
      <c r="M22" s="12">
        <f>IF((AND(I8&lt;&gt;"not enrolled",K8&lt;&gt;"not enrolled",M8&lt;&gt;"not enrolled",O8&lt;&gt;"not enrolled")),ROUND(((E22-(E22*0.01057))/4),0), IF((AND(I8&lt;&gt;"not enrolled",K8&lt;&gt;"not enrolled",M8&lt;&gt;"not enrolled",O8="not enrolled")),ROUND(((E22-(E22*0.01057))/3),0), IF((AND(I8="not enrolled",K8&lt;&gt;"not enrolled",M8&lt;&gt;"not enrolled",O8&lt;&gt;"not enrolled")),ROUND(((E22-(E22*0.01057))/3),0), IF((AND(I8="not enrolled",K8="not enrolled",M8&lt;&gt;"not enrolled",O8&lt;&gt;"not enrolled")),ROUND(((E22-(E22*0.01057))/2),0), 0))))</f>
        <v>0</v>
      </c>
      <c r="N22" s="12"/>
      <c r="O22" s="12">
        <f>IF((AND(I8&lt;&gt;"not enrolled",K8&lt;&gt;"not enrolled",M8&lt;&gt;"not enrolled",O8&lt;&gt;"not enrolled")),ROUND(((E22-(E22*0.01057))/4),0), IF((AND(I8="not enrolled",K8&lt;&gt;"not enrolled",M8&lt;&gt;"not enrolled",O8&lt;&gt;"not enrolled")),ROUND(((E22-(E22*0.01057))/3),0), IF((AND(I8="not enrolled",K8="not enrolled",M8&lt;&gt;"not enrolled",O8&lt;&gt;"not enrolled")),ROUND(((E22-(E22*0.01057))/2),0),  IF((AND(I8="not enrolled",K8="not enrolled",M8="not enrolled",O8&lt;&gt;"not enrolled")),ROUND(((E22-(E22*0.01057))/1),0), 0))))</f>
        <v>0</v>
      </c>
    </row>
    <row r="23" spans="1:15" ht="21.75" customHeight="1" x14ac:dyDescent="0.25">
      <c r="B23" t="s">
        <v>9</v>
      </c>
      <c r="G23" s="17"/>
      <c r="I23" s="5">
        <f>IF((AND(I8&lt;&gt;"not enrolled",K8&lt;&gt;"not enrolled",M8&lt;&gt;"not enrolled",O8&lt;&gt;"not enrolled")),(G23/4), IF((AND(I8&lt;&gt;"not enrolled",K8&lt;&gt;"not enrolled",M8&lt;&gt;"not enrolled",O8="not enrolled")),(G23/3), IF((AND(I8&lt;&gt;"not enrolled",K8&lt;&gt;"not enrolled",M8="not enrolled",O8="not enrolled")),(G23/2), IF((AND(I8&lt;&gt;"not enrolled",K8="not enrolled",M8="not enrolled",O8="not enrolled")),(G23/1), 0))))</f>
        <v>0</v>
      </c>
      <c r="K23" s="5">
        <f>IF((AND(I8&lt;&gt;"not enrolled",K8&lt;&gt;"not enrolled",M8&lt;&gt;"not enrolled",O8&lt;&gt;"not enrolled")),(G23/4), IF((AND(I8&lt;&gt;"not enrolled",K8&lt;&gt;"not enrolled",M8&lt;&gt;"not enrolled",O8="not enrolled")),(G23/3), IF((AND(I8="not enrolled",K8&lt;&gt;"not enrolled",M8&lt;&gt;"not enrolled",O8&lt;&gt;"not enrolled")),(G23/3), IF((AND(I8&lt;&gt;"not enrolled",K8&lt;&gt;"not enrolled",M8="not enrolled",O8="not enrolled")),(G23/2), 0))))</f>
        <v>0</v>
      </c>
      <c r="M23" s="5">
        <f>IF((AND(I8&lt;&gt;"not enrolled",K8&lt;&gt;"not enrolled",M8&lt;&gt;"not enrolled",O8&lt;&gt;"not enrolled")),(G23/4), IF((AND(I8&lt;&gt;"not enrolled",K8&lt;&gt;"not enrolled",M8&lt;&gt;"not enrolled",O8="not enrolled")),(G23/3), IF((AND(I8="not enrolled",K8&lt;&gt;"not enrolled",M8&lt;&gt;"not enrolled",O8&lt;&gt;"not enrolled")),(G23/3), IF((AND(I8="not enrolled",K8="not enrolled",M8&lt;&gt;"not enrolled",O8&lt;&gt;"not enrolled")),(G23/2), 0))))</f>
        <v>0</v>
      </c>
      <c r="O23" s="5">
        <f>IF((AND(I8&lt;&gt;"not enrolled",K8&lt;&gt;"not enrolled",M8&lt;&gt;"not enrolled",O8&lt;&gt;"not enrolled")),(G23/4), IF((AND(I8="not enrolled",K8&lt;&gt;"not enrolled",M8&lt;&gt;"not enrolled",O8&lt;&gt;"not enrolled")),(G23/3), IF((AND(I8="not enrolled",K8="not enrolled",M8&lt;&gt;"not enrolled",O8&lt;&gt;"not enrolled")),(G23/2),  IF((AND(I8="not enrolled",K8="not enrolled",M8="not enrolled",O8&lt;&gt;"not enrolled")),(G23), 0))))</f>
        <v>0</v>
      </c>
    </row>
    <row r="24" spans="1:15" ht="21.75" customHeight="1" x14ac:dyDescent="0.25">
      <c r="B24" s="74" t="s">
        <v>24</v>
      </c>
      <c r="C24" s="74"/>
      <c r="D24" s="74"/>
      <c r="E24" s="74"/>
      <c r="F24" s="74"/>
      <c r="G24" s="28">
        <f>I24+K24+M24+O24</f>
        <v>0</v>
      </c>
      <c r="H24" s="27"/>
      <c r="I24" s="19"/>
      <c r="J24" s="27"/>
      <c r="K24" s="19"/>
      <c r="L24" s="33"/>
      <c r="M24" s="19"/>
      <c r="N24" s="33"/>
      <c r="O24" s="19"/>
    </row>
    <row r="25" spans="1:15" ht="21.75" customHeight="1" x14ac:dyDescent="0.25">
      <c r="C25" s="8" t="s">
        <v>10</v>
      </c>
      <c r="G25" s="5">
        <f>SUM(G19:G24)</f>
        <v>0</v>
      </c>
      <c r="I25" s="5">
        <f>SUM(I19:I24)</f>
        <v>0</v>
      </c>
      <c r="K25" s="5">
        <f>SUM(K19:K24)</f>
        <v>0</v>
      </c>
      <c r="M25" s="5">
        <f>SUM(M19:M24)</f>
        <v>0</v>
      </c>
      <c r="O25" s="5">
        <f>SUM(O19:O24)</f>
        <v>0</v>
      </c>
    </row>
    <row r="26" spans="1:15" ht="15.75" thickBot="1" x14ac:dyDescent="0.3"/>
    <row r="27" spans="1:15" ht="21.75" customHeight="1" thickTop="1" thickBot="1" x14ac:dyDescent="0.35">
      <c r="B27" s="15" t="s">
        <v>12</v>
      </c>
      <c r="C27" s="14"/>
      <c r="D27" s="14"/>
      <c r="E27" s="14"/>
      <c r="F27" s="14"/>
      <c r="G27" s="25">
        <f>G16-G25</f>
        <v>0</v>
      </c>
      <c r="H27" s="26"/>
      <c r="I27" s="25">
        <f>I16-I25</f>
        <v>0</v>
      </c>
      <c r="J27" s="26"/>
      <c r="K27" s="25">
        <f>K16-K25</f>
        <v>0</v>
      </c>
      <c r="L27" s="25"/>
      <c r="M27" s="25">
        <f>M16-M25</f>
        <v>0</v>
      </c>
      <c r="N27" s="25"/>
      <c r="O27" s="25">
        <f>O16-O25</f>
        <v>0</v>
      </c>
    </row>
    <row r="28" spans="1:15" ht="15.75" thickTop="1" x14ac:dyDescent="0.25"/>
    <row r="29" spans="1:15" x14ac:dyDescent="0.25">
      <c r="B29" s="8" t="s">
        <v>13</v>
      </c>
    </row>
    <row r="30" spans="1:15" ht="21.75" customHeight="1" x14ac:dyDescent="0.25">
      <c r="A30" s="51">
        <v>1</v>
      </c>
      <c r="B30" s="69" t="str">
        <f>IF((OR(G5="2023 Fall or 2024 Spring Quarter")),Data1!P9, IF((OR(G5="2024 Fall or 2025 Spring Quarter")), Data1!P10, "Please choose a starting term for your cohort above."))</f>
        <v>Please choose a starting term for your cohort above.</v>
      </c>
      <c r="C30" s="69"/>
      <c r="D30" s="69"/>
      <c r="E30" s="69"/>
      <c r="F30" s="69"/>
      <c r="G30" s="69"/>
      <c r="H30" s="69"/>
      <c r="I30" s="69"/>
      <c r="J30" s="69"/>
      <c r="K30" s="69"/>
      <c r="L30" s="69"/>
      <c r="M30" s="69"/>
      <c r="N30" s="69"/>
      <c r="O30" s="69"/>
    </row>
    <row r="31" spans="1:15" ht="19.5" customHeight="1" x14ac:dyDescent="0.25">
      <c r="A31" s="51">
        <v>2</v>
      </c>
      <c r="B31" s="68" t="s">
        <v>58</v>
      </c>
      <c r="C31" s="68"/>
      <c r="D31" s="68"/>
      <c r="E31" s="68"/>
      <c r="F31" s="68"/>
      <c r="G31" s="68"/>
      <c r="H31" s="68"/>
      <c r="I31" s="68"/>
      <c r="J31" s="68"/>
      <c r="K31" s="68"/>
      <c r="L31" s="68"/>
      <c r="M31" s="68"/>
      <c r="N31" s="68"/>
      <c r="O31" s="68"/>
    </row>
    <row r="32" spans="1:15" ht="32.25" customHeight="1" x14ac:dyDescent="0.25">
      <c r="A32" s="61">
        <v>3</v>
      </c>
      <c r="B32" s="69" t="s">
        <v>119</v>
      </c>
      <c r="C32" s="69"/>
      <c r="D32" s="69"/>
      <c r="E32" s="69"/>
      <c r="F32" s="69"/>
      <c r="G32" s="69"/>
      <c r="H32" s="69"/>
      <c r="I32" s="69"/>
      <c r="J32" s="69"/>
      <c r="K32" s="69"/>
      <c r="L32" s="69"/>
      <c r="M32" s="69"/>
      <c r="N32" s="69"/>
      <c r="O32" s="35"/>
    </row>
    <row r="33" spans="1:15" ht="33" customHeight="1" x14ac:dyDescent="0.25">
      <c r="A33" s="61">
        <v>4</v>
      </c>
      <c r="B33" s="69" t="s">
        <v>110</v>
      </c>
      <c r="C33" s="69"/>
      <c r="D33" s="69"/>
      <c r="E33" s="69"/>
      <c r="F33" s="69"/>
      <c r="G33" s="69"/>
      <c r="H33" s="69"/>
      <c r="I33" s="69"/>
      <c r="J33" s="69"/>
      <c r="K33" s="69"/>
      <c r="L33" s="69"/>
      <c r="M33" s="69"/>
      <c r="N33" s="69"/>
      <c r="O33" s="69"/>
    </row>
    <row r="34" spans="1:15" ht="46.5" customHeight="1" x14ac:dyDescent="0.25">
      <c r="A34" s="61">
        <v>5</v>
      </c>
      <c r="B34" s="69" t="s">
        <v>96</v>
      </c>
      <c r="C34" s="69"/>
      <c r="D34" s="69"/>
      <c r="E34" s="69"/>
      <c r="F34" s="69"/>
      <c r="G34" s="69"/>
      <c r="H34" s="69"/>
      <c r="I34" s="69"/>
      <c r="J34" s="69"/>
      <c r="K34" s="69"/>
      <c r="L34" s="69"/>
      <c r="M34" s="69"/>
      <c r="N34" s="69"/>
      <c r="O34" s="69"/>
    </row>
    <row r="35" spans="1:15" ht="21.75" customHeight="1" x14ac:dyDescent="0.25"/>
    <row r="37" spans="1:15" x14ac:dyDescent="0.25">
      <c r="B37" s="64" t="s">
        <v>14</v>
      </c>
      <c r="C37" s="64"/>
      <c r="D37" s="64"/>
      <c r="E37" s="64"/>
      <c r="F37" s="64"/>
      <c r="G37" s="64"/>
      <c r="H37" s="64"/>
      <c r="I37" s="64"/>
      <c r="J37" s="64"/>
      <c r="K37" s="64"/>
      <c r="L37" s="64"/>
      <c r="M37" s="64"/>
      <c r="N37" s="64"/>
      <c r="O37" s="64"/>
    </row>
  </sheetData>
  <sheetProtection algorithmName="SHA-512" hashValue="f7SVRqVjQARVSmZfeHQSJFfMf10s64IoyOQ+jPr+E7jzr2s+1okTP+UqyaaGv5bERS98KRJbz+j0MLKxtqCc0w==" saltValue="g6T3ni12qu49VQG9l0G+1g==" spinCount="100000" sheet="1" selectLockedCells="1"/>
  <mergeCells count="12">
    <mergeCell ref="G2:O2"/>
    <mergeCell ref="B31:O31"/>
    <mergeCell ref="B34:O34"/>
    <mergeCell ref="B37:O37"/>
    <mergeCell ref="C12:D12"/>
    <mergeCell ref="B24:F24"/>
    <mergeCell ref="B30:O30"/>
    <mergeCell ref="B14:D14"/>
    <mergeCell ref="B15:D15"/>
    <mergeCell ref="B33:O33"/>
    <mergeCell ref="G5:I5"/>
    <mergeCell ref="B32:N32"/>
  </mergeCells>
  <phoneticPr fontId="19" type="noConversion"/>
  <hyperlinks>
    <hyperlink ref="B14" r:id="rId1" display="Will you enroll in DU's health insurance plan?" xr:uid="{00000000-0004-0000-0500-000000000000}"/>
    <hyperlink ref="B15" r:id="rId2" display="Will you use DU Health &amp; Counseling Services? " xr:uid="{00000000-0004-0000-0500-000001000000}"/>
  </hyperlinks>
  <pageMargins left="0.5" right="0.5" top="0.5" bottom="0.5" header="0.3" footer="0.3"/>
  <pageSetup scale="72"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Data1!$F$2:$F$22</xm:f>
          </x14:formula1>
          <xm:sqref>O8 I8 K8 M8</xm:sqref>
        </x14:dataValidation>
        <x14:dataValidation type="list" allowBlank="1" showInputMessage="1" showErrorMessage="1" xr:uid="{00000000-0002-0000-0500-000001000000}">
          <x14:formula1>
            <xm:f>Data1!$A$25:$A$26</xm:f>
          </x14:formula1>
          <xm:sqref>E14</xm:sqref>
        </x14:dataValidation>
        <x14:dataValidation type="list" allowBlank="1" showInputMessage="1" showErrorMessage="1" xr:uid="{5AFD9E5A-06A5-4EA3-A5F2-68B885EE7B1B}">
          <x14:formula1>
            <xm:f>Data1!$A$34:$A$35</xm:f>
          </x14:formula1>
          <xm:sqref>G5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O32"/>
  <sheetViews>
    <sheetView showGridLines="0" showRowColHeaders="0" showRuler="0" zoomScaleNormal="100" workbookViewId="0">
      <selection activeCell="I6" sqref="I6"/>
    </sheetView>
  </sheetViews>
  <sheetFormatPr defaultColWidth="8.85546875" defaultRowHeight="15" x14ac:dyDescent="0.25"/>
  <cols>
    <col min="1" max="1" width="4.140625" customWidth="1"/>
    <col min="4" max="4" width="14"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65" t="s">
        <v>102</v>
      </c>
      <c r="H2" s="65"/>
      <c r="I2" s="65"/>
      <c r="J2" s="65"/>
      <c r="K2" s="65"/>
      <c r="L2" s="65"/>
      <c r="M2" s="65"/>
      <c r="N2" s="65"/>
      <c r="O2" s="65"/>
    </row>
    <row r="3" spans="2:15" ht="8.25" customHeight="1" x14ac:dyDescent="0.25">
      <c r="B3" s="20"/>
      <c r="C3" s="20"/>
      <c r="D3" s="20"/>
      <c r="E3" s="20"/>
      <c r="F3" s="20"/>
      <c r="G3" s="21"/>
      <c r="H3" s="22"/>
      <c r="I3" s="22"/>
      <c r="J3" s="22"/>
      <c r="K3" s="22"/>
      <c r="L3" s="22"/>
      <c r="M3" s="22"/>
      <c r="N3" s="22"/>
      <c r="O3" s="22"/>
    </row>
    <row r="4" spans="2:15" ht="9.75" customHeight="1" x14ac:dyDescent="0.25"/>
    <row r="5" spans="2:15" ht="15" customHeight="1" x14ac:dyDescent="0.25">
      <c r="I5" s="57" t="s">
        <v>75</v>
      </c>
      <c r="K5" s="57" t="s">
        <v>76</v>
      </c>
      <c r="L5" s="34"/>
      <c r="M5" s="57" t="s">
        <v>77</v>
      </c>
      <c r="N5" s="34"/>
      <c r="O5" s="57" t="s">
        <v>98</v>
      </c>
    </row>
    <row r="6" spans="2:15" ht="18" customHeight="1" x14ac:dyDescent="0.3">
      <c r="C6" s="6" t="s">
        <v>45</v>
      </c>
      <c r="E6" s="29"/>
      <c r="F6" s="29"/>
      <c r="G6" s="29"/>
      <c r="H6" s="29"/>
      <c r="I6" s="54"/>
      <c r="K6" s="55"/>
      <c r="L6"/>
      <c r="M6" s="56"/>
      <c r="N6"/>
      <c r="O6" s="56"/>
    </row>
    <row r="7" spans="2:15" ht="18.75" customHeight="1" x14ac:dyDescent="0.25"/>
    <row r="8" spans="2:15" ht="15.75" thickBot="1" x14ac:dyDescent="0.3">
      <c r="B8" s="1" t="s">
        <v>7</v>
      </c>
      <c r="C8" s="2"/>
      <c r="D8" s="2"/>
      <c r="E8" s="2"/>
      <c r="F8" s="2"/>
      <c r="G8" s="4" t="s">
        <v>3</v>
      </c>
      <c r="H8" s="3"/>
      <c r="I8" s="4" t="s">
        <v>78</v>
      </c>
      <c r="J8" s="3"/>
      <c r="K8" s="4" t="s">
        <v>79</v>
      </c>
      <c r="L8" s="4"/>
      <c r="M8" s="4" t="s">
        <v>80</v>
      </c>
      <c r="N8" s="4"/>
      <c r="O8" s="4" t="s">
        <v>99</v>
      </c>
    </row>
    <row r="9" spans="2:15" ht="9" customHeight="1" x14ac:dyDescent="0.25"/>
    <row r="10" spans="2:15" ht="21.75" customHeight="1" x14ac:dyDescent="0.25">
      <c r="B10" s="10" t="s">
        <v>1</v>
      </c>
      <c r="C10" s="73"/>
      <c r="D10" s="73"/>
      <c r="E10" s="11"/>
      <c r="F10" s="11"/>
      <c r="G10" s="12" t="e">
        <f>I10+K10+M10+O10</f>
        <v>#N/A</v>
      </c>
      <c r="H10" s="11"/>
      <c r="I10" s="12" t="e">
        <f>VLOOKUP(I6, Data1!K26:M43, 3, FALSE)</f>
        <v>#N/A</v>
      </c>
      <c r="J10" s="11"/>
      <c r="K10" s="12" t="e">
        <f>VLOOKUP(K6, Data1!K26:M43, 3, FALSE)</f>
        <v>#N/A</v>
      </c>
      <c r="L10" s="12"/>
      <c r="M10" s="12" t="e">
        <f>VLOOKUP(M6, Data1!K26:M43, 3, FALSE)</f>
        <v>#N/A</v>
      </c>
      <c r="N10" s="12"/>
      <c r="O10" s="12" t="e">
        <f>VLOOKUP(O6, Data1!K26:M43, 3, FALSE)</f>
        <v>#N/A</v>
      </c>
    </row>
    <row r="11" spans="2:15" ht="21.75" customHeight="1" x14ac:dyDescent="0.25">
      <c r="B11" s="35" t="s">
        <v>2</v>
      </c>
      <c r="G11" s="36" t="e">
        <f>I11+K11+M11+O11</f>
        <v>#N/A</v>
      </c>
      <c r="I11" s="36" t="e">
        <f>VLOOKUP(I6,Data1!K26:N43,4,FALSE)</f>
        <v>#N/A</v>
      </c>
      <c r="K11" s="36" t="e">
        <f>VLOOKUP(K6,Data1!K26:N43,4,FALSE)</f>
        <v>#N/A</v>
      </c>
      <c r="L11" s="36"/>
      <c r="M11" s="36" t="e">
        <f>VLOOKUP(M6,Data1!K26:N43,4,FALSE)</f>
        <v>#N/A</v>
      </c>
      <c r="N11" s="36"/>
      <c r="O11" s="36" t="e">
        <f>VLOOKUP(O6,Data1!K26:N43,4,FALSE)</f>
        <v>#N/A</v>
      </c>
    </row>
    <row r="12" spans="2:15" ht="21.75" customHeight="1" x14ac:dyDescent="0.25">
      <c r="B12" s="20"/>
      <c r="C12" s="40" t="s">
        <v>6</v>
      </c>
      <c r="D12" s="20"/>
      <c r="E12" s="20"/>
      <c r="F12" s="20"/>
      <c r="G12" s="41" t="e">
        <f>SUM(G10:G11)</f>
        <v>#N/A</v>
      </c>
      <c r="H12" s="20"/>
      <c r="I12" s="41" t="e">
        <f>SUM(I10:I11)</f>
        <v>#N/A</v>
      </c>
      <c r="J12" s="20"/>
      <c r="K12" s="41" t="e">
        <f>SUM(K10:K11)</f>
        <v>#N/A</v>
      </c>
      <c r="L12" s="41"/>
      <c r="M12" s="41" t="e">
        <f>SUM(M10:M11)</f>
        <v>#N/A</v>
      </c>
      <c r="N12" s="41"/>
      <c r="O12" s="41" t="e">
        <f>SUM(O10:O11)</f>
        <v>#N/A</v>
      </c>
    </row>
    <row r="13" spans="2:15" ht="24" customHeight="1" x14ac:dyDescent="0.25"/>
    <row r="14" spans="2:15" ht="15.75" thickBot="1" x14ac:dyDescent="0.3">
      <c r="B14" s="1" t="s">
        <v>11</v>
      </c>
      <c r="C14" s="2"/>
      <c r="D14" s="2"/>
      <c r="E14" s="2"/>
      <c r="F14" s="2"/>
      <c r="G14" s="4" t="s">
        <v>3</v>
      </c>
      <c r="H14" s="3"/>
      <c r="I14" s="4" t="s">
        <v>78</v>
      </c>
      <c r="J14" s="3"/>
      <c r="K14" s="4" t="s">
        <v>79</v>
      </c>
      <c r="L14" s="4"/>
      <c r="M14" s="4" t="s">
        <v>80</v>
      </c>
      <c r="N14" s="4"/>
      <c r="O14" s="4" t="s">
        <v>99</v>
      </c>
    </row>
    <row r="15" spans="2:15" ht="21.75" customHeight="1" x14ac:dyDescent="0.25">
      <c r="B15" t="s">
        <v>16</v>
      </c>
      <c r="G15" s="16"/>
      <c r="I15" s="5">
        <f>IF((AND(I6&lt;&gt;"not enrolled",K6&lt;&gt;"not enrolled",M6&lt;&gt;"not enrolled",O6&lt;&gt;"not enrolled")),(G15/4), IF((AND(I6&lt;&gt;"not enrolled",K6&lt;&gt;"not enrolled",M6&lt;&gt;"not enrolled",O6="not enrolled")),(G15/3), IF((AND(I6&lt;&gt;"not enrolled",K6&lt;&gt;"not enrolled",M6="not enrolled",O6="not enrolled")),(G15/2), IF((AND(I6&lt;&gt;"not enrolled",K6="not enrolled",M6="not enrolled",O6="not enrolled")),(G15/1), 0))))</f>
        <v>0</v>
      </c>
      <c r="K15" s="5">
        <f>IF((AND(I6&lt;&gt;"not enrolled",K6&lt;&gt;"not enrolled",M6&lt;&gt;"not enrolled",O6&lt;&gt;"not enrolled")),(G15/4), IF((AND(I6&lt;&gt;"not enrolled",K6&lt;&gt;"not enrolled",M6&lt;&gt;"not enrolled",O6="not enrolled")),(G15/3), IF((AND(I6="not enrolled",K6&lt;&gt;"not enrolled",M6&lt;&gt;"not enrolled",O6&lt;&gt;"not enrolled")),(G15/3), IF((AND(I6&lt;&gt;"not enrolled",K6&lt;&gt;"not enrolled",M6="not enrolled",O6="not enrolled")),(G15/2), 0))))</f>
        <v>0</v>
      </c>
      <c r="M15" s="5">
        <f>IF((AND(I6&lt;&gt;"not enrolled",K6&lt;&gt;"not enrolled",M6&lt;&gt;"not enrolled",O6&lt;&gt;"not enrolled")),(G15/4), IF((AND(I6&lt;&gt;"not enrolled",K6&lt;&gt;"not enrolled",M6&lt;&gt;"not enrolled",O6="not enrolled")),(G15/3), IF((AND(I6="not enrolled",K6&lt;&gt;"not enrolled",M6&lt;&gt;"not enrolled",O6&lt;&gt;"not enrolled")),(G15/3), IF((AND(I6="not enrolled",K6="not enrolled",M6&lt;&gt;"not enrolled",O6&lt;&gt;"not enrolled")),(G15/2), 0))))</f>
        <v>0</v>
      </c>
      <c r="O15" s="5">
        <f>IF((AND(I6&lt;&gt;"not enrolled",K6&lt;&gt;"not enrolled",M6&lt;&gt;"not enrolled",O6&lt;&gt;"not enrolled")),(G15/4), IF((AND(I6="not enrolled",K6&lt;&gt;"not enrolled",M6&lt;&gt;"not enrolled",O6&lt;&gt;"not enrolled")),(G15/3), IF((AND(I6="not enrolled",K6="not enrolled",M6&lt;&gt;"not enrolled",O6&lt;&gt;"not enrolled")),(G15/2),  IF((AND(I6="not enrolled",K6="not enrolled",M6="not enrolled",O6&lt;&gt;"not enrolled")),(G15), 0))))</f>
        <v>0</v>
      </c>
    </row>
    <row r="16" spans="2:15" ht="21.75" customHeight="1" x14ac:dyDescent="0.25">
      <c r="B16" s="11" t="s">
        <v>8</v>
      </c>
      <c r="C16" s="11"/>
      <c r="D16" s="11"/>
      <c r="E16" s="11"/>
      <c r="F16" s="11"/>
      <c r="G16" s="17"/>
      <c r="H16" s="11"/>
      <c r="I16" s="12">
        <f>IF((AND(I6&lt;&gt;"not enrolled",K6&lt;&gt;"not enrolled",M6&lt;&gt;"not enrolled",O6&lt;&gt;"not enrolled")),(G16/4), IF((AND(I6&lt;&gt;"not enrolled",K6&lt;&gt;"not enrolled",M6&lt;&gt;"not enrolled",O6="not enrolled")),(G16/3), IF((AND(I6&lt;&gt;"not enrolled",K6&lt;&gt;"not enrolled",M6="not enrolled",O6="not enrolled")),(G16/2), IF((AND(I6&lt;&gt;"not enrolled",K6="not enrolled",M6="not enrolled",O6="not enrolled")),(G16/1), 0))))</f>
        <v>0</v>
      </c>
      <c r="J16" s="11"/>
      <c r="K16" s="12">
        <f>IF((AND(I6&lt;&gt;"not enrolled",K6&lt;&gt;"not enrolled",M6&lt;&gt;"not enrolled",O6&lt;&gt;"not enrolled")),(G16/4), IF((AND(I6&lt;&gt;"not enrolled",K6&lt;&gt;"not enrolled",M6&lt;&gt;"not enrolled",O6="not enrolled")),(G16/3), IF((AND(I6="not enrolled",K6&lt;&gt;"not enrolled",M6&lt;&gt;"not enrolled",O6&lt;&gt;"not enrolled")),(G16/3), IF((AND(I6&lt;&gt;"not enrolled",K6&lt;&gt;"not enrolled",M6="not enrolled",O6="not enrolled")),(G16/2), 0))))</f>
        <v>0</v>
      </c>
      <c r="L16" s="12"/>
      <c r="M16" s="12">
        <f>IF((AND(I6&lt;&gt;"not enrolled",K6&lt;&gt;"not enrolled",M6&lt;&gt;"not enrolled",O6&lt;&gt;"not enrolled")),(G16/4), IF((AND(I6&lt;&gt;"not enrolled",K6&lt;&gt;"not enrolled",M6&lt;&gt;"not enrolled",O6="not enrolled")),(G16/3), IF((AND(I6="not enrolled",K6&lt;&gt;"not enrolled",M6&lt;&gt;"not enrolled",O6&lt;&gt;"not enrolled")),(G16/3), IF((AND(I6="not enrolled",K6="not enrolled",M6&lt;&gt;"not enrolled",O6&lt;&gt;"not enrolled")),(G16/2), 0))))</f>
        <v>0</v>
      </c>
      <c r="N16" s="12"/>
      <c r="O16" s="12">
        <f>IF((AND(I6&lt;&gt;"not enrolled",K6&lt;&gt;"not enrolled",M6&lt;&gt;"not enrolled",O6&lt;&gt;"not enrolled")),(G16/4), IF((AND(I6="not enrolled",K6&lt;&gt;"not enrolled",M6&lt;&gt;"not enrolled",O6&lt;&gt;"not enrolled")),(G16/3), IF((AND(I6="not enrolled",K6="not enrolled",M6&lt;&gt;"not enrolled",O6&lt;&gt;"not enrolled")),(G16/2),  IF((AND(I6="not enrolled",K6="not enrolled",M6="not enrolled",O6&lt;&gt;"not enrolled")),(G16), 0))))</f>
        <v>0</v>
      </c>
    </row>
    <row r="17" spans="2:15" ht="21.75" customHeight="1" x14ac:dyDescent="0.25">
      <c r="B17" t="s">
        <v>19</v>
      </c>
      <c r="E17" s="18"/>
      <c r="G17" s="5">
        <f>SUM(I17,K17,M17,O17)</f>
        <v>0</v>
      </c>
      <c r="I17" s="5">
        <f>IF((AND(I6&lt;&gt;"not enrolled",K6&lt;&gt;"not enrolled",M6&lt;&gt;"not enrolled",O6&lt;&gt;"not enrolled")),ROUND(((E17-(E17*0.01057))/4),0), IF((AND(I6&lt;&gt;"not enrolled",K6&lt;&gt;"not enrolled",M6&lt;&gt;"not enrolled",O6="not enrolled")),ROUND(((E17-(E17*0.01057))/3),0), IF((AND(I6&lt;&gt;"not enrolled",K6&lt;&gt;"not enrolled",M6="not enrolled",O6="not enrolled")),ROUND(((E17-(E17*0.01057))/2),0), IF((AND(I6&lt;&gt;"not enrolled",K6="not enrolled",M6="not enrolled",O6="not enrolled")),ROUND(((E17-(E17*0.01057))/1),0), 0))))</f>
        <v>0</v>
      </c>
      <c r="K17" s="5">
        <f>IF((AND(I6&lt;&gt;"not enrolled",K6&lt;&gt;"not enrolled",M6&lt;&gt;"not enrolled",O6&lt;&gt;"not enrolled")),ROUND(((E17-(E17*0.01057))/4),0), IF((AND(I6&lt;&gt;"not enrolled",K6&lt;&gt;"not enrolled",M6&lt;&gt;"not enrolled",O6="not enrolled")),ROUND(((E17-(E17*0.01057))/3),0), IF((AND(I6="not enrolled",K6&lt;&gt;"not enrolled",M6&lt;&gt;"not enrolled",O6&lt;&gt;"not enrolled")),ROUND(((E17-(E17*0.01057))/3),0), IF((AND(I6&lt;&gt;"not enrolled",K6&lt;&gt;"not enrolled",M6="not enrolled",O6="not enrolled")),ROUND(((E17-(E17*0.01057))/2),0), 0))))</f>
        <v>0</v>
      </c>
      <c r="M17" s="5">
        <f>IF((AND(I6&lt;&gt;"not enrolled",K6&lt;&gt;"not enrolled",M6&lt;&gt;"not enrolled",O6&lt;&gt;"not enrolled")),ROUND(((E17-(E17*0.01057))/4),0), IF((AND(I6&lt;&gt;"not enrolled",K6&lt;&gt;"not enrolled",M6&lt;&gt;"not enrolled",O6="not enrolled")),ROUND(((E17-(E17*0.01057))/3),0), IF((AND(I6="not enrolled",K6&lt;&gt;"not enrolled",M6&lt;&gt;"not enrolled",O6&lt;&gt;"not enrolled")),ROUND(((E17-(E17*0.01057))/3),0), IF((AND(I6="not enrolled",K6="not enrolled",M6&lt;&gt;"not enrolled",O6&lt;&gt;"not enrolled")),ROUND(((E17-(E17*0.01057))/2),0), 0))))</f>
        <v>0</v>
      </c>
      <c r="O17" s="5">
        <f>IF((AND(I6&lt;&gt;"not enrolled",K6&lt;&gt;"not enrolled",M6&lt;&gt;"not enrolled",O6&lt;&gt;"not enrolled")),ROUND(((E17-(E17*0.01057))/4),0), IF((AND(I6="not enrolled",K6&lt;&gt;"not enrolled",M6&lt;&gt;"not enrolled",O6&lt;&gt;"not enrolled")),ROUND(((E17-(E17*0.01057))/3),0), IF((AND(I6="not enrolled",K6="not enrolled",M6&lt;&gt;"not enrolled",O6&lt;&gt;"not enrolled")),ROUND(((E17-(E17*0.01057))/2),0),  IF((AND(I6="not enrolled",K6="not enrolled",M6="not enrolled",O6&lt;&gt;"not enrolled")),ROUND(((E17-(E17*0.01057))/1),0), 0))))</f>
        <v>0</v>
      </c>
    </row>
    <row r="18" spans="2:15" ht="21.75" customHeight="1" x14ac:dyDescent="0.25">
      <c r="B18" s="11" t="s">
        <v>20</v>
      </c>
      <c r="C18" s="11"/>
      <c r="D18" s="11"/>
      <c r="E18" s="18"/>
      <c r="F18" s="11"/>
      <c r="G18" s="12">
        <f>SUM(I18,K18,M18,O18)</f>
        <v>0</v>
      </c>
      <c r="H18" s="11"/>
      <c r="I18" s="12">
        <f>IF((AND(I6&lt;&gt;"not enrolled",K6&lt;&gt;"not enrolled",M6&lt;&gt;"not enrolled",O6&lt;&gt;"not enrolled")),ROUND(((E18-(E18*0.04228))/4),0), IF((AND(I6&lt;&gt;"not enrolled",K6&lt;&gt;"not enrolled",M6&lt;&gt;"not enrolled",O6="not enrolled")),ROUND(((E18-(E18*0.04228))/3),0), IF((AND(I6&lt;&gt;"not enrolled",K6&lt;&gt;"not enrolled",M6="not enrolled",O6="not enrolled")),ROUND(((E18-(E18*0.04228))/2),0), IF((AND(I6&lt;&gt;"not enrolled",K6="not enrolled",M6="not enrolled",O6="not enrolled")),ROUND(((E18-(E18*0.04228))/1),0), 0))))</f>
        <v>0</v>
      </c>
      <c r="J18" s="11"/>
      <c r="K18" s="12">
        <f>IF((AND(I6&lt;&gt;"not enrolled",K6&lt;&gt;"not enrolled",M6&lt;&gt;"not enrolled",O6&lt;&gt;"not enrolled")),ROUND(((E18-(E18*0.04228))/4),0), IF((AND(I6&lt;&gt;"not enrolled",K6&lt;&gt;"not enrolled",M6&lt;&gt;"not enrolled",O6="not enrolled")),ROUND(((E18-(E18*0.04228))/3),0), IF((AND(I6="not enrolled",K6&lt;&gt;"not enrolled",M6&lt;&gt;"not enrolled",O6&lt;&gt;"not enrolled")),ROUND(((E18-(E18*0.04228))/3),0), IF((AND(I6&lt;&gt;"not enrolled",K6&lt;&gt;"not enrolled",M6="not enrolled",O6="not enrolled")),ROUND(((E18-(E18*0.04228))/2),0), 0))))</f>
        <v>0</v>
      </c>
      <c r="L18" s="12"/>
      <c r="M18" s="12">
        <f>IF((AND(I6&lt;&gt;"not enrolled",K6&lt;&gt;"not enrolled",M6&lt;&gt;"not enrolled",O6&lt;&gt;"not enrolled")),ROUND(((E18-(E18*0.04228))/4),0), IF((AND(I6&lt;&gt;"not enrolled",K6&lt;&gt;"not enrolled",M6&lt;&gt;"not enrolled",O6="not enrolled")),ROUND(((E18-(E18*0.04228))/3),0), IF((AND(I6="not enrolled",K6&lt;&gt;"not enrolled",M6&lt;&gt;"not enrolled",O6&lt;&gt;"not enrolled")),ROUND(((E18-(E18*0.04228))/3),0), IF((AND(I6="not enrolled",K6="not enrolled",M6&lt;&gt;"not enrolled",O6&lt;&gt;"not enrolled")),ROUND(((E18-(E18*0.04228))/2),0), 0))))</f>
        <v>0</v>
      </c>
      <c r="N18" s="12"/>
      <c r="O18" s="12">
        <f>IF((AND(I6&lt;&gt;"not enrolled",K6&lt;&gt;"not enrolled",M6&lt;&gt;"not enrolled",O6&lt;&gt;"not enrolled")),ROUND(((E18-(E18*0.04228))/4),0), IF((AND(I6="not enrolled",K6&lt;&gt;"not enrolled",M6&lt;&gt;"not enrolled",O6&lt;&gt;"not enrolled")),ROUND(((E18-(E18*0.04228))/3),0), IF((AND(I6="not enrolled",K6="not enrolled",M6&lt;&gt;"not enrolled",O6&lt;&gt;"not enrolled")),ROUND(((E18-(E18*0.04228))/2),0),  IF((AND(I6="not enrolled",K6="not enrolled",M6="not enrolled",O6&lt;&gt;"not enrolled")),ROUND(((E18-(E18*0.04228))/1),0), 0))))</f>
        <v>0</v>
      </c>
    </row>
    <row r="19" spans="2:15" ht="21.75" customHeight="1" x14ac:dyDescent="0.25">
      <c r="B19" t="s">
        <v>9</v>
      </c>
      <c r="G19" s="17"/>
      <c r="I19" s="5">
        <f>IF((AND(I6&lt;&gt;"not enrolled",K6&lt;&gt;"not enrolled",M6&lt;&gt;"not enrolled",O6&lt;&gt;"not enrolled")),(G19/4), IF((AND(I6&lt;&gt;"not enrolled",K6&lt;&gt;"not enrolled",M6&lt;&gt;"not enrolled",O6="not enrolled")),(G19/3), IF((AND(I6&lt;&gt;"not enrolled",K6&lt;&gt;"not enrolled",M6="not enrolled",O6="not enrolled")),(G19/2), IF((AND(I6&lt;&gt;"not enrolled",K6="not enrolled",M6="not enrolled",O6="not enrolled")),(G19/1), 0))))</f>
        <v>0</v>
      </c>
      <c r="K19" s="5">
        <f>IF((AND(I6&lt;&gt;"not enrolled",K6&lt;&gt;"not enrolled",M6&lt;&gt;"not enrolled",O6&lt;&gt;"not enrolled")),(G19/4), IF((AND(I6&lt;&gt;"not enrolled",K6&lt;&gt;"not enrolled",M6&lt;&gt;"not enrolled",O6="not enrolled")),(G19/3), IF((AND(I6="not enrolled",K6&lt;&gt;"not enrolled",M6&lt;&gt;"not enrolled",O6&lt;&gt;"not enrolled")),(G19/3), IF((AND(I6&lt;&gt;"not enrolled",K6&lt;&gt;"not enrolled",M6="not enrolled",O6="not enrolled")),(G19/2), 0))))</f>
        <v>0</v>
      </c>
      <c r="M19" s="5">
        <f>IF((AND(I6&lt;&gt;"not enrolled",K6&lt;&gt;"not enrolled",M6&lt;&gt;"not enrolled",O6&lt;&gt;"not enrolled")),(G19/4), IF((AND(I6&lt;&gt;"not enrolled",K6&lt;&gt;"not enrolled",M6&lt;&gt;"not enrolled",O6="not enrolled")),(G19/3), IF((AND(I6="not enrolled",K6&lt;&gt;"not enrolled",M6&lt;&gt;"not enrolled",O6&lt;&gt;"not enrolled")),(G19/3), IF((AND(I6="not enrolled",K6="not enrolled",M6&lt;&gt;"not enrolled",O6&lt;&gt;"not enrolled")),(G19/2), 0))))</f>
        <v>0</v>
      </c>
      <c r="O19" s="5">
        <f>IF((AND(I6&lt;&gt;"not enrolled",K6&lt;&gt;"not enrolled",M6&lt;&gt;"not enrolled",O6&lt;&gt;"not enrolled")),(G19/4), IF((AND(I6="not enrolled",K6&lt;&gt;"not enrolled",M6&lt;&gt;"not enrolled",O6&lt;&gt;"not enrolled")),(G19/3), IF((AND(I6="not enrolled",K6="not enrolled",M6&lt;&gt;"not enrolled",O6&lt;&gt;"not enrolled")),(G19/2),  IF((AND(I6="not enrolled",K6="not enrolled",M6="not enrolled",O6&lt;&gt;"not enrolled")),(G19), 0))))</f>
        <v>0</v>
      </c>
    </row>
    <row r="20" spans="2:15" ht="21.75" customHeight="1" x14ac:dyDescent="0.25">
      <c r="B20" s="74" t="s">
        <v>24</v>
      </c>
      <c r="C20" s="74"/>
      <c r="D20" s="74"/>
      <c r="E20" s="74"/>
      <c r="F20" s="74"/>
      <c r="G20" s="28">
        <f>I20+K20+M20+O20</f>
        <v>0</v>
      </c>
      <c r="H20" s="27"/>
      <c r="I20" s="19"/>
      <c r="J20" s="27"/>
      <c r="K20" s="19"/>
      <c r="L20" s="33"/>
      <c r="M20" s="19"/>
      <c r="N20" s="33"/>
      <c r="O20" s="19"/>
    </row>
    <row r="21" spans="2:15" ht="21.75" customHeight="1" x14ac:dyDescent="0.25">
      <c r="C21" s="8" t="s">
        <v>10</v>
      </c>
      <c r="G21" s="5">
        <f>SUM(G15:G20)</f>
        <v>0</v>
      </c>
      <c r="I21" s="5">
        <f>SUM(I15:I20)</f>
        <v>0</v>
      </c>
      <c r="K21" s="5">
        <f>SUM(K15:K20)</f>
        <v>0</v>
      </c>
      <c r="M21" s="5">
        <f>SUM(M15:M20)</f>
        <v>0</v>
      </c>
      <c r="O21" s="5">
        <f>SUM(O15:O20)</f>
        <v>0</v>
      </c>
    </row>
    <row r="22" spans="2:15" ht="15.75" thickBot="1" x14ac:dyDescent="0.3"/>
    <row r="23" spans="2:15" ht="21.75" customHeight="1" thickTop="1" thickBot="1" x14ac:dyDescent="0.35">
      <c r="B23" s="15" t="s">
        <v>12</v>
      </c>
      <c r="C23" s="14"/>
      <c r="D23" s="14"/>
      <c r="E23" s="14"/>
      <c r="F23" s="14"/>
      <c r="G23" s="25" t="e">
        <f>G12-G21</f>
        <v>#N/A</v>
      </c>
      <c r="H23" s="26"/>
      <c r="I23" s="25" t="e">
        <f>I12-I21</f>
        <v>#N/A</v>
      </c>
      <c r="J23" s="26"/>
      <c r="K23" s="25" t="e">
        <f>K12-K21</f>
        <v>#N/A</v>
      </c>
      <c r="L23" s="25"/>
      <c r="M23" s="25" t="e">
        <f>M12-M21</f>
        <v>#N/A</v>
      </c>
      <c r="N23" s="25"/>
      <c r="O23" s="25" t="e">
        <f>O12-O21</f>
        <v>#N/A</v>
      </c>
    </row>
    <row r="24" spans="2:15" ht="15.75" thickTop="1" x14ac:dyDescent="0.25"/>
    <row r="25" spans="2:15" x14ac:dyDescent="0.25">
      <c r="B25" s="8" t="s">
        <v>13</v>
      </c>
    </row>
    <row r="26" spans="2:15" ht="18" customHeight="1" x14ac:dyDescent="0.25">
      <c r="B26" s="71" t="s">
        <v>100</v>
      </c>
      <c r="C26" s="69"/>
      <c r="D26" s="69"/>
      <c r="E26" s="69"/>
      <c r="F26" s="69"/>
      <c r="G26" s="69"/>
      <c r="H26" s="69"/>
      <c r="I26" s="69"/>
      <c r="J26" s="69"/>
      <c r="K26" s="69"/>
      <c r="L26" s="69"/>
      <c r="M26" s="69"/>
      <c r="N26" s="69"/>
      <c r="O26" s="69"/>
    </row>
    <row r="27" spans="2:15" ht="19.899999999999999" customHeight="1" x14ac:dyDescent="0.25">
      <c r="B27" s="68" t="s">
        <v>18</v>
      </c>
      <c r="C27" s="68"/>
      <c r="D27" s="68"/>
      <c r="E27" s="68"/>
      <c r="F27" s="68"/>
      <c r="G27" s="68"/>
      <c r="H27" s="68"/>
      <c r="I27" s="68"/>
      <c r="J27" s="68"/>
      <c r="K27" s="68"/>
      <c r="L27" s="68"/>
      <c r="M27" s="68"/>
      <c r="N27" s="68"/>
      <c r="O27" s="68"/>
    </row>
    <row r="28" spans="2:15" ht="31.15" customHeight="1" x14ac:dyDescent="0.25">
      <c r="B28" s="69" t="s">
        <v>120</v>
      </c>
      <c r="C28" s="69"/>
      <c r="D28" s="69"/>
      <c r="E28" s="69"/>
      <c r="F28" s="69"/>
      <c r="G28" s="69"/>
      <c r="H28" s="69"/>
      <c r="I28" s="69"/>
      <c r="J28" s="69"/>
      <c r="K28" s="69"/>
      <c r="L28" s="69"/>
      <c r="M28" s="69"/>
      <c r="N28" s="69"/>
      <c r="O28" s="69"/>
    </row>
    <row r="29" spans="2:15" ht="46.15" customHeight="1" x14ac:dyDescent="0.25">
      <c r="B29" s="69" t="s">
        <v>64</v>
      </c>
      <c r="C29" s="69"/>
      <c r="D29" s="69"/>
      <c r="E29" s="69"/>
      <c r="F29" s="69"/>
      <c r="G29" s="69"/>
      <c r="H29" s="69"/>
      <c r="I29" s="69"/>
      <c r="J29" s="69"/>
      <c r="K29" s="69"/>
      <c r="L29" s="69"/>
      <c r="M29" s="69"/>
      <c r="N29" s="69"/>
      <c r="O29" s="69"/>
    </row>
    <row r="30" spans="2:15" ht="21.75" customHeight="1" x14ac:dyDescent="0.25"/>
    <row r="32" spans="2:15" x14ac:dyDescent="0.25">
      <c r="B32" s="64" t="s">
        <v>14</v>
      </c>
      <c r="C32" s="64"/>
      <c r="D32" s="64"/>
      <c r="E32" s="64"/>
      <c r="F32" s="64"/>
      <c r="G32" s="64"/>
      <c r="H32" s="64"/>
      <c r="I32" s="64"/>
      <c r="J32" s="64"/>
      <c r="K32" s="64"/>
      <c r="L32" s="64"/>
      <c r="M32" s="64"/>
      <c r="N32" s="64"/>
      <c r="O32" s="64"/>
    </row>
  </sheetData>
  <sheetProtection algorithmName="SHA-512" hashValue="kT+X3qphruh4U16tn+42XHMu25bARvY8Xct/SYzWCIIMGRHQLaGpq1EvmCWb8pXvGRhqHGtoi3vw16nznRL4YQ==" saltValue="ddetZUdZaapUguCNyU6NKg==" spinCount="100000" sheet="1" selectLockedCells="1"/>
  <mergeCells count="8">
    <mergeCell ref="B29:O29"/>
    <mergeCell ref="B32:O32"/>
    <mergeCell ref="G2:O2"/>
    <mergeCell ref="C10:D10"/>
    <mergeCell ref="B20:F20"/>
    <mergeCell ref="B26:O26"/>
    <mergeCell ref="B27:O27"/>
    <mergeCell ref="B28:O28"/>
  </mergeCell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Data1!$K$26:$K$43</xm:f>
          </x14:formula1>
          <xm:sqref>I6 O6 M6 K6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3EC3C-FC48-4BCA-9DF5-C8F5E0B24EB5}">
  <sheetPr>
    <pageSetUpPr fitToPage="1"/>
  </sheetPr>
  <dimension ref="A1:O40"/>
  <sheetViews>
    <sheetView showGridLines="0" showRowColHeaders="0" showRuler="0" zoomScaleNormal="100" workbookViewId="0">
      <selection activeCell="F5" sqref="F5:H5"/>
    </sheetView>
  </sheetViews>
  <sheetFormatPr defaultColWidth="8.85546875" defaultRowHeight="15" x14ac:dyDescent="0.25"/>
  <cols>
    <col min="1" max="1" width="4.140625" customWidth="1"/>
    <col min="4" max="4" width="26.140625" customWidth="1"/>
    <col min="5" max="5" width="11.42578125" bestFit="1" customWidth="1"/>
    <col min="7" max="7" width="13.140625" style="5" customWidth="1"/>
    <col min="8" max="8" width="4.7109375" customWidth="1"/>
    <col min="9" max="9" width="13.42578125" style="5" customWidth="1"/>
    <col min="10" max="10" width="4.7109375" customWidth="1"/>
    <col min="11" max="11" width="13.42578125" style="5" customWidth="1"/>
    <col min="12" max="12" width="4.7109375" style="5" customWidth="1"/>
    <col min="13" max="13" width="13.42578125" style="5" customWidth="1"/>
    <col min="14" max="14" width="3.42578125" customWidth="1"/>
  </cols>
  <sheetData>
    <row r="1" spans="2:14" ht="17.25" customHeight="1" x14ac:dyDescent="0.25"/>
    <row r="2" spans="2:14" ht="47.25" customHeight="1" x14ac:dyDescent="0.25">
      <c r="F2" s="70" t="s">
        <v>124</v>
      </c>
      <c r="G2" s="70"/>
      <c r="H2" s="70"/>
      <c r="I2" s="70"/>
      <c r="J2" s="70"/>
      <c r="K2" s="70"/>
      <c r="L2" s="70"/>
      <c r="M2" s="70"/>
      <c r="N2" s="70"/>
    </row>
    <row r="3" spans="2:14" ht="8.25" customHeight="1" x14ac:dyDescent="0.25">
      <c r="B3" s="20"/>
      <c r="C3" s="20"/>
      <c r="D3" s="20"/>
      <c r="E3" s="20"/>
      <c r="F3" s="20"/>
      <c r="G3" s="21"/>
      <c r="H3" s="22"/>
      <c r="I3" s="22"/>
      <c r="J3" s="22"/>
      <c r="K3" s="22"/>
      <c r="L3" s="22"/>
      <c r="M3" s="22"/>
      <c r="N3" s="22"/>
    </row>
    <row r="4" spans="2:14" ht="8.25" customHeight="1" x14ac:dyDescent="0.25">
      <c r="G4" s="58"/>
      <c r="H4" s="59"/>
      <c r="I4" s="59"/>
      <c r="J4" s="59"/>
      <c r="K4" s="59"/>
      <c r="L4" s="59"/>
      <c r="M4" s="59"/>
      <c r="N4" s="59"/>
    </row>
    <row r="5" spans="2:14" ht="21" x14ac:dyDescent="0.3">
      <c r="B5" s="6" t="s">
        <v>21</v>
      </c>
      <c r="D5" s="29"/>
      <c r="E5" s="29"/>
      <c r="F5" s="80"/>
      <c r="G5" s="81"/>
      <c r="H5" s="82"/>
      <c r="I5" s="59"/>
      <c r="J5" s="59"/>
      <c r="K5" s="59"/>
      <c r="L5" s="59"/>
      <c r="M5" s="59"/>
      <c r="N5" s="59"/>
    </row>
    <row r="6" spans="2:14" ht="8.25" customHeight="1" x14ac:dyDescent="0.25">
      <c r="G6" s="58"/>
      <c r="H6" s="59"/>
      <c r="I6" s="59"/>
      <c r="J6" s="59"/>
      <c r="K6" s="59"/>
      <c r="L6" s="59"/>
      <c r="M6" s="59"/>
      <c r="N6" s="59"/>
    </row>
    <row r="7" spans="2:14" ht="12" customHeight="1" x14ac:dyDescent="0.25">
      <c r="B7" s="72"/>
      <c r="C7" s="72"/>
      <c r="D7" s="72"/>
      <c r="E7" s="72"/>
      <c r="F7" s="72"/>
      <c r="G7" s="72"/>
      <c r="H7" s="72"/>
      <c r="I7" s="72"/>
      <c r="J7" s="72"/>
      <c r="K7" s="72"/>
      <c r="L7" s="72"/>
      <c r="M7" s="72"/>
      <c r="N7" s="72"/>
    </row>
    <row r="8" spans="2:14" ht="19.5" customHeight="1" x14ac:dyDescent="0.25">
      <c r="I8" s="46" t="s">
        <v>75</v>
      </c>
      <c r="K8" s="46" t="s">
        <v>76</v>
      </c>
      <c r="M8" s="46" t="s">
        <v>77</v>
      </c>
    </row>
    <row r="9" spans="2:14" ht="18" customHeight="1" x14ac:dyDescent="0.3">
      <c r="C9" s="6" t="s">
        <v>15</v>
      </c>
      <c r="D9" s="29"/>
      <c r="E9" s="29"/>
      <c r="F9" s="29"/>
      <c r="G9" s="29"/>
      <c r="H9" s="29"/>
      <c r="I9" s="45" t="s">
        <v>82</v>
      </c>
      <c r="K9" s="45" t="s">
        <v>82</v>
      </c>
      <c r="L9" s="23"/>
      <c r="M9" s="45" t="s">
        <v>82</v>
      </c>
      <c r="N9" s="29"/>
    </row>
    <row r="10" spans="2:14" ht="6" customHeight="1" x14ac:dyDescent="0.25"/>
    <row r="11" spans="2:14" ht="15.75" thickBot="1" x14ac:dyDescent="0.3">
      <c r="B11" s="1" t="s">
        <v>7</v>
      </c>
      <c r="C11" s="2"/>
      <c r="D11" s="2"/>
      <c r="E11" s="2"/>
      <c r="F11" s="2"/>
      <c r="G11" s="4" t="s">
        <v>3</v>
      </c>
      <c r="H11" s="3"/>
      <c r="I11" s="4" t="s">
        <v>78</v>
      </c>
      <c r="J11" s="3"/>
      <c r="K11" s="4" t="s">
        <v>79</v>
      </c>
      <c r="L11" s="4"/>
      <c r="M11" s="4" t="s">
        <v>80</v>
      </c>
      <c r="N11" s="2"/>
    </row>
    <row r="12" spans="2:14" ht="9" customHeight="1" x14ac:dyDescent="0.25"/>
    <row r="13" spans="2:14" ht="21.75" customHeight="1" x14ac:dyDescent="0.25">
      <c r="B13" s="10" t="s">
        <v>1</v>
      </c>
      <c r="C13" s="73"/>
      <c r="D13" s="73"/>
      <c r="E13" s="11"/>
      <c r="F13" s="11"/>
      <c r="G13" s="12">
        <f>I13+K13+M13</f>
        <v>0</v>
      </c>
      <c r="H13" s="11"/>
      <c r="I13" s="12">
        <f>IF((OR(F5="2024 Fall Quarter")), (VLOOKUP(I9,Data1!E46:H64, 2, FALSE)), IF((OR(F5="2023 Fall Quarter")), (VLOOKUP(I9, Data1!E46:H64, 3, FALSE)), 0))</f>
        <v>0</v>
      </c>
      <c r="J13" s="11"/>
      <c r="K13" s="12">
        <f>IF((OR(F5="2024 Fall Quarter")), (VLOOKUP(K9,Data1!E46:G64, 2, FALSE)), IF((OR(F5="2023 Fall Quarter")), (VLOOKUP(K9, Data1!E46:G64, 3, FALSE)), 0))</f>
        <v>0</v>
      </c>
      <c r="L13" s="12"/>
      <c r="M13" s="12">
        <f>IF((OR(F5="2024 Fall Quarter")), (VLOOKUP(M9,Data1!E46:G64, 2, FALSE)), IF((OR(F5="2023 Fall Quarter")), (VLOOKUP(M9,Data1!E46:G64, 3, FALSE)), 0))</f>
        <v>0</v>
      </c>
      <c r="N13" s="11"/>
    </row>
    <row r="14" spans="2:14" ht="21.75" customHeight="1" x14ac:dyDescent="0.25">
      <c r="B14" s="35" t="s">
        <v>0</v>
      </c>
    </row>
    <row r="15" spans="2:14" ht="21.75" customHeight="1" x14ac:dyDescent="0.25">
      <c r="B15" s="13" t="s">
        <v>2</v>
      </c>
      <c r="C15" s="11"/>
      <c r="D15" s="11"/>
      <c r="E15" s="11"/>
      <c r="F15" s="11"/>
      <c r="G15" s="12">
        <f>I15+K15+M15</f>
        <v>0</v>
      </c>
      <c r="H15" s="11"/>
      <c r="I15" s="12">
        <f>VLOOKUP(I9,Data1!E25:H43, 4, FALSE)</f>
        <v>0</v>
      </c>
      <c r="J15" s="11"/>
      <c r="K15" s="12">
        <f>VLOOKUP(K9,Data1!E46:H64, 4, FALSE)</f>
        <v>0</v>
      </c>
      <c r="L15" s="12"/>
      <c r="M15" s="12">
        <f>VLOOKUP(M9, Data1!E46:H64, 4, FALSE)</f>
        <v>0</v>
      </c>
      <c r="N15" s="11"/>
    </row>
    <row r="16" spans="2:14" ht="21.75" customHeight="1" x14ac:dyDescent="0.25">
      <c r="B16" s="39" t="s">
        <v>17</v>
      </c>
      <c r="G16" s="5" t="e">
        <f>I16+K16+M16</f>
        <v>#N/A</v>
      </c>
      <c r="I16" s="5" t="e">
        <f>VLOOKUP(I9,Data1!E26:I43, 5, FALSE)</f>
        <v>#N/A</v>
      </c>
      <c r="K16" s="5" t="e">
        <f>VLOOKUP(K9, Data1!E26:I43, 5, FALSE)</f>
        <v>#N/A</v>
      </c>
      <c r="M16" s="5" t="e">
        <f>VLOOKUP(M9, Data1!A3:D22, 4, FALSE)</f>
        <v>#N/A</v>
      </c>
    </row>
    <row r="17" spans="2:14" ht="21.75" customHeight="1" x14ac:dyDescent="0.25">
      <c r="B17" s="75" t="s">
        <v>57</v>
      </c>
      <c r="C17" s="75"/>
      <c r="D17" s="76"/>
      <c r="E17" s="31"/>
      <c r="F17" s="11"/>
      <c r="G17" s="30">
        <f>I17+K17+M17</f>
        <v>0</v>
      </c>
      <c r="H17" s="11"/>
      <c r="I17" s="30">
        <f>IF(AND(E17="Yes", I9&lt;&gt;"not enrolled"), (VLOOKUP(E17,Data1!A25:C26, 2, FALSE)), 0)</f>
        <v>0</v>
      </c>
      <c r="J17" s="11"/>
      <c r="K17" s="30">
        <v>0</v>
      </c>
      <c r="L17" s="30"/>
      <c r="M17" s="30">
        <f>IF(AND(E17="Yes", M9&lt;&gt;"not enrolled"), (VLOOKUP(E17,Data1!A25:C26, 2, FALSE)), 0)</f>
        <v>0</v>
      </c>
      <c r="N17" s="11"/>
    </row>
    <row r="18" spans="2:14" ht="21.75" customHeight="1" x14ac:dyDescent="0.25">
      <c r="B18" s="77" t="s">
        <v>83</v>
      </c>
      <c r="C18" s="77"/>
      <c r="D18" s="77"/>
      <c r="E18" s="60"/>
      <c r="F18" s="7"/>
      <c r="G18" s="32">
        <f>I18+K18+M18</f>
        <v>0</v>
      </c>
      <c r="H18" s="7"/>
      <c r="I18" s="62">
        <f>IF(AND(I9&lt;&gt;"select", I9&lt;&gt;"not enrolled",I9&lt;&gt;"4 credits",I9&lt;&gt;"5 credits",I9&lt;&gt;"6 credits",I9&lt;&gt;"7 credits"), 241, 0)</f>
        <v>0</v>
      </c>
      <c r="J18" s="7"/>
      <c r="K18" s="62">
        <f>IF(AND(K9&lt;&gt;"select", K9&lt;&gt;"not enrolled",K9&lt;&gt;"4 credits",K9&lt;&gt;"5 credits",K9&lt;&gt;"6 credits",K9&lt;&gt;"7 credits"), 241, 0)</f>
        <v>0</v>
      </c>
      <c r="L18" s="32"/>
      <c r="M18" s="62">
        <f>IF(AND(M9&lt;&gt;"select", M9&lt;&gt;"not enrolled",M9&lt;&gt;"4 credits",M9&lt;&gt;"5 credits",M9&lt;&gt;"6 credits",M9&lt;&gt;"7 credits"), 241, 0)</f>
        <v>0</v>
      </c>
      <c r="N18" s="7"/>
    </row>
    <row r="19" spans="2:14" ht="21.75" customHeight="1" x14ac:dyDescent="0.25">
      <c r="C19" s="8" t="s">
        <v>6</v>
      </c>
      <c r="G19" s="9" t="e">
        <f>SUM(G13, G15:G18)</f>
        <v>#N/A</v>
      </c>
      <c r="I19" s="9" t="e">
        <f>SUM(I13,I15:I18)</f>
        <v>#N/A</v>
      </c>
      <c r="K19" s="9" t="e">
        <f>SUM(K13,K15:K18)</f>
        <v>#N/A</v>
      </c>
      <c r="L19" s="9"/>
      <c r="M19" s="9" t="e">
        <f>SUM(M13,M15:M18)</f>
        <v>#N/A</v>
      </c>
    </row>
    <row r="20" spans="2:14" ht="24" customHeight="1" x14ac:dyDescent="0.25"/>
    <row r="21" spans="2:14" ht="15.75" thickBot="1" x14ac:dyDescent="0.3">
      <c r="B21" s="1" t="s">
        <v>11</v>
      </c>
      <c r="C21" s="2"/>
      <c r="D21" s="2"/>
      <c r="E21" s="2"/>
      <c r="F21" s="2"/>
      <c r="G21" s="4" t="s">
        <v>3</v>
      </c>
      <c r="H21" s="3"/>
      <c r="I21" s="4" t="s">
        <v>78</v>
      </c>
      <c r="J21" s="3"/>
      <c r="K21" s="4" t="s">
        <v>79</v>
      </c>
      <c r="L21" s="4"/>
      <c r="M21" s="4" t="s">
        <v>80</v>
      </c>
      <c r="N21" s="2"/>
    </row>
    <row r="22" spans="2:14" ht="21.75" customHeight="1" x14ac:dyDescent="0.25">
      <c r="B22" t="s">
        <v>16</v>
      </c>
      <c r="G22" s="16"/>
      <c r="I22" s="5">
        <f>IF((AND(I9&lt;&gt;"not enrolled", K9&lt;&gt;"not enrolled", M9&lt;&gt;"not enrolled")), (G22/3), IF((AND(I9&lt;&gt;"not enrolled", K9&lt;&gt;"not enrolled", M9="not enrolled")), (G22/2), IF((AND(I9&lt;&gt;"not enrolled", K9="not enrolled", M9="not enrolled")), (G22/1), 0)))</f>
        <v>0</v>
      </c>
      <c r="K22" s="5">
        <f>IF((AND(I9&lt;&gt;"not enrolled", K9&lt;&gt;"not enrolled", M9&lt;&gt;"not enrolled")), (G22/3), IF((AND(I9&lt;&gt;"not enrolled", K9&lt;&gt;"not enrolled", M9="not enrolled")), (G22/2), IF((AND(I9="not enrolled", K9&lt;&gt;"not enrolled", M9&lt;&gt;"not enrolled")), (G22/2), 0)))</f>
        <v>0</v>
      </c>
      <c r="M22" s="5">
        <f>IF((AND(I9&lt;&gt;"not enrolled", K9&lt;&gt;"not enrolled", M9&lt;&gt;"not enrolled")), (G22/3), IF((AND(I9="not enrolled", K9&lt;&gt;"not enrolled", M9&lt;&gt;"not enrolled")), (G22/2), IF((AND(I9="not enrolled", K9="not enrolled", M9&lt;&gt;"not enrolled")), (G22), 0)))</f>
        <v>0</v>
      </c>
    </row>
    <row r="23" spans="2:14" ht="21.75" customHeight="1" x14ac:dyDescent="0.25">
      <c r="B23" s="11" t="s">
        <v>8</v>
      </c>
      <c r="C23" s="11"/>
      <c r="D23" s="11"/>
      <c r="E23" s="11"/>
      <c r="F23" s="11"/>
      <c r="G23" s="17"/>
      <c r="H23" s="11"/>
      <c r="I23" s="12">
        <f>IF((AND(I9&lt;&gt;"not enrolled", K9&lt;&gt;"not enrolled", M9&lt;&gt;"not enrolled")), (G23/3), IF((AND(I9&lt;&gt;"not enrolled", K9&lt;&gt;"not enrolled", M9="not enrolled")), (G23/2), IF((AND(I9&lt;&gt;"not enrolled", K9="not enrolled", M9="not enrolled")), (G23/1), 0)))</f>
        <v>0</v>
      </c>
      <c r="J23" s="11"/>
      <c r="K23" s="12">
        <f>IF((AND(I9&lt;&gt;"not enrolled", K9&lt;&gt;"not enrolled", M9&lt;&gt;"not enrolled")), (G23/3), IF((AND(I9&lt;&gt;"not enrolled", K9&lt;&gt;"not enrolled", M9="not enrolled")), (G23/2), IF((AND(I9="not enrolled", K9&lt;&gt;"not enrolled", M9&lt;&gt;"not enrolled")), (G23/2), 0)))</f>
        <v>0</v>
      </c>
      <c r="L23" s="12"/>
      <c r="M23" s="12">
        <f>IF((AND(I9&lt;&gt;"not enrolled", K9&lt;&gt;"not enrolled", M9&lt;&gt;"not enrolled")), (G23/3), IF((AND(I9="not enrolled", K9&lt;&gt;"not enrolled", M9&lt;&gt;"not enrolled")), (G23/2), IF((AND(I9="not enrolled", K9="not enrolled", M9&lt;&gt;"not enrolled")), (G23), 0)))</f>
        <v>0</v>
      </c>
      <c r="N23" s="11"/>
    </row>
    <row r="24" spans="2:14" ht="21.75" customHeight="1" x14ac:dyDescent="0.25">
      <c r="B24" t="s">
        <v>84</v>
      </c>
      <c r="E24" s="18"/>
      <c r="G24" s="5">
        <f>SUM(I24,K24,M24)</f>
        <v>0</v>
      </c>
      <c r="I24" s="5">
        <f>IF((AND(I9&lt;&gt;"not enrolled", K9&lt;&gt;"not enrolled", M9&lt;&gt;"not enrolled")), ROUND(((E24-(E24*0.01057))/3),0), IF((AND(I9&lt;&gt;"not enrolled", K9&lt;&gt;"not enrolled", M9="not enrolled")), ROUND(((E24-(E24*0.01057))/2),0), IF((AND(I9&lt;&gt;"not enrolled", K9="not enrolled", M9="not enrolled")), ROUND(((E24-(E24*0.01057))/1),0), 0)))</f>
        <v>0</v>
      </c>
      <c r="K24" s="5">
        <f>IF((AND(I9&lt;&gt;"not enrolled", K9&lt;&gt;"not enrolled", M9&lt;&gt;"not enrolled")), ROUND(((E24-(E24*0.01057))/3),0), IF((AND(I9&lt;&gt;"not enrolled", K9&lt;&gt;"not enrolled", M9="not enrolled")), ROUND(((E24-(E24*0.01057))/2),0), IF((AND(I9="not enrolled", K9&lt;&gt;"not enrolled", M9&lt;&gt;"not enrolled")), ROUND(((E24-(E24*0.01057))/2),0), 0)))</f>
        <v>0</v>
      </c>
      <c r="M24" s="5">
        <f>IF((AND(I9&lt;&gt;"not enrolled", K9&lt;&gt;"not enrolled", M9&lt;&gt;"not enrolled")), ROUND(((E24-(E24*0.01057))/3),0), IF((AND(I9="not enrolled", K9&lt;&gt;"not enrolled", M9&lt;&gt;"not enrolled")), ROUND(((E24-(E24*0.01057))/2),0), IF((AND(I9="not enrolled", K9="not enrolled", M9&lt;&gt;"not enrolled")), ROUND(((E24-(E24*0.01057))/1),0), 0)))</f>
        <v>0</v>
      </c>
    </row>
    <row r="25" spans="2:14" ht="21.75" customHeight="1" x14ac:dyDescent="0.25">
      <c r="B25" s="11" t="s">
        <v>85</v>
      </c>
      <c r="C25" s="11"/>
      <c r="D25" s="11"/>
      <c r="E25" s="18"/>
      <c r="F25" s="11"/>
      <c r="G25" s="12">
        <f>SUM(I25,K25,M25)</f>
        <v>0</v>
      </c>
      <c r="H25" s="11"/>
      <c r="I25" s="12">
        <f>IF((AND(I9&lt;&gt;"not enrolled", K9&lt;&gt;"not enrolled", M9&lt;&gt;"not enrolled")), ROUND(((E25-(E25*0.04228))/3),0), IF((AND(I9&lt;&gt;"not enrolled", K9&lt;&gt;"not enrolled", M9="not enrolled")), ROUND(((E25-(E25*0.04228))/2),0), IF((AND(I9&lt;&gt;"not enrolled", K9="not enrolled", M9="not enrolled")), ROUND(((E25-(E25*0.04228))/1),0), 0)))</f>
        <v>0</v>
      </c>
      <c r="J25" s="11"/>
      <c r="K25" s="12">
        <f>IF((AND(I9&lt;&gt;"not enrolled", K9&lt;&gt;"not enrolled", M9&lt;&gt;"not enrolled")), ROUND(((E25-(E25*0.04228))/3),0), IF((AND(I9&lt;&gt;"not enrolled", K9&lt;&gt;"not enrolled", M9="not enrolled")), ROUND(((E25-(E25*0.04228))/2),0), IF((AND(I9="not enrolled", K9&lt;&gt;"not enrolled", M9&lt;&gt;"not enrolled")), ROUND(((E25-(E25*0.04228))/2),0), 0)))</f>
        <v>0</v>
      </c>
      <c r="L25" s="12"/>
      <c r="M25" s="12">
        <f>IF((AND(I9&lt;&gt;"not enrolled", K9&lt;&gt;"not enrolled", M9&lt;&gt;"not enrolled")), ROUND(((E25-(E25*0.04228))/3),0), IF((AND(I9="not enrolled", K9&lt;&gt;"not enrolled", M9&lt;&gt;"not enrolled")), ROUND(((E25-(E25*0.04228))/2),0), IF((AND(I9="not enrolled", K9="not enrolled", M9&lt;&gt;"not enrolled")), ROUND(((E25-(E25*0.04228))/1),0), 0)))</f>
        <v>0</v>
      </c>
      <c r="N25" s="11"/>
    </row>
    <row r="26" spans="2:14" ht="21.75" customHeight="1" x14ac:dyDescent="0.25">
      <c r="B26" s="68" t="s">
        <v>23</v>
      </c>
      <c r="C26" s="68"/>
      <c r="D26" s="68"/>
      <c r="E26" s="68"/>
      <c r="G26" s="17"/>
      <c r="I26" s="5">
        <f>IF((AND(I9&lt;&gt;"not enrolled", K9&lt;&gt;"not enrolled", M9&lt;&gt;"not enrolled")), (G26/3), IF((AND(I9&lt;&gt;"not enrolled", K9&lt;&gt;"not enrolled", M9="not enrolled")), (G26/2), IF((AND(I9&lt;&gt;"not enrolled", K9="not enrolled", M9="not enrolled")), (G26/1), 0)))</f>
        <v>0</v>
      </c>
      <c r="K26" s="5">
        <f>IF((AND(I9&lt;&gt;"not enrolled", K9&lt;&gt;"not enrolled", M9&lt;&gt;"not enrolled")), (G26/3), IF((AND(I9&lt;&gt;"not enrolled", K9&lt;&gt;"not enrolled", M9="not enrolled")), (G26/2), IF((AND(I9="not enrolled", K9&lt;&gt;"not enrolled", M9&lt;&gt;"not enrolled")), (G26/2), 0)))</f>
        <v>0</v>
      </c>
      <c r="M26" s="5">
        <f>IF((AND(I9&lt;&gt;"not enrolled", K9&lt;&gt;"not enrolled", M9&lt;&gt;"not enrolled")), (G26/3), IF((AND(I9="not enrolled", K9&lt;&gt;"not enrolled", M9&lt;&gt;"not enrolled")), (G26/2), IF((AND(I9="not enrolled", K9="not enrolled", M9&lt;&gt;"not enrolled")), (G26), 0)))</f>
        <v>0</v>
      </c>
    </row>
    <row r="27" spans="2:14" ht="21.75" customHeight="1" x14ac:dyDescent="0.25">
      <c r="B27" s="74" t="s">
        <v>24</v>
      </c>
      <c r="C27" s="74"/>
      <c r="D27" s="74"/>
      <c r="E27" s="74"/>
      <c r="F27" s="74"/>
      <c r="G27" s="28">
        <f>I27+K27+M27</f>
        <v>0</v>
      </c>
      <c r="H27" s="27"/>
      <c r="I27" s="19"/>
      <c r="J27" s="27"/>
      <c r="K27" s="19"/>
      <c r="L27" s="33"/>
      <c r="M27" s="24"/>
      <c r="N27" s="27"/>
    </row>
    <row r="28" spans="2:14" ht="21.75" customHeight="1" x14ac:dyDescent="0.25">
      <c r="C28" s="8" t="s">
        <v>10</v>
      </c>
      <c r="G28" s="5">
        <f>SUM(G22:G27)</f>
        <v>0</v>
      </c>
      <c r="I28" s="5">
        <f>SUM(I22:I27)</f>
        <v>0</v>
      </c>
      <c r="K28" s="5">
        <f>SUM(K22:K26,K27)</f>
        <v>0</v>
      </c>
      <c r="M28" s="5">
        <f>SUM(M22:M26,M27)</f>
        <v>0</v>
      </c>
    </row>
    <row r="29" spans="2:14" ht="15.75" thickBot="1" x14ac:dyDescent="0.3"/>
    <row r="30" spans="2:14" ht="21.75" customHeight="1" thickTop="1" thickBot="1" x14ac:dyDescent="0.35">
      <c r="B30" s="15" t="s">
        <v>12</v>
      </c>
      <c r="C30" s="14"/>
      <c r="D30" s="14"/>
      <c r="E30" s="14"/>
      <c r="F30" s="14"/>
      <c r="G30" s="25" t="e">
        <f>G19-G28</f>
        <v>#N/A</v>
      </c>
      <c r="H30" s="26"/>
      <c r="I30" s="25" t="e">
        <f>I19-I28</f>
        <v>#N/A</v>
      </c>
      <c r="J30" s="26"/>
      <c r="K30" s="25" t="e">
        <f>K19-K28</f>
        <v>#N/A</v>
      </c>
      <c r="L30" s="25"/>
      <c r="M30" s="25" t="e">
        <f>M19-M28</f>
        <v>#N/A</v>
      </c>
      <c r="N30" s="14"/>
    </row>
    <row r="31" spans="2:14" ht="15.75" thickTop="1" x14ac:dyDescent="0.25"/>
    <row r="32" spans="2:14" x14ac:dyDescent="0.25">
      <c r="B32" s="8" t="s">
        <v>13</v>
      </c>
    </row>
    <row r="33" spans="1:15" ht="21.75" customHeight="1" x14ac:dyDescent="0.25">
      <c r="A33" s="51">
        <v>1</v>
      </c>
      <c r="B33" s="69" t="str">
        <f>IF((OR(F5="2024 Fall Quarter")), Data1!P14, IF((OR(F5="2023 Fall Quarter")), Data1!P13, "Please choose a starting term for your cohort above."))</f>
        <v>Please choose a starting term for your cohort above.</v>
      </c>
      <c r="C33" s="69"/>
      <c r="D33" s="69"/>
      <c r="E33" s="69"/>
      <c r="F33" s="69"/>
      <c r="G33" s="69"/>
      <c r="H33" s="69"/>
      <c r="I33" s="69"/>
      <c r="J33" s="69"/>
      <c r="K33" s="69"/>
      <c r="L33" s="69"/>
      <c r="M33" s="69"/>
      <c r="N33" s="69"/>
      <c r="O33" s="69"/>
    </row>
    <row r="34" spans="1:15" ht="17.45" customHeight="1" x14ac:dyDescent="0.25">
      <c r="A34" s="51">
        <v>2</v>
      </c>
      <c r="B34" s="68" t="s">
        <v>58</v>
      </c>
      <c r="C34" s="68"/>
      <c r="D34" s="68"/>
      <c r="E34" s="68"/>
      <c r="F34" s="68"/>
      <c r="G34" s="68"/>
      <c r="H34" s="68"/>
      <c r="I34" s="68"/>
      <c r="J34" s="68"/>
      <c r="K34" s="68"/>
      <c r="L34" s="68"/>
      <c r="M34" s="68"/>
      <c r="N34" s="68"/>
    </row>
    <row r="35" spans="1:15" ht="30" customHeight="1" x14ac:dyDescent="0.25">
      <c r="A35" s="61">
        <v>3</v>
      </c>
      <c r="B35" s="69" t="s">
        <v>119</v>
      </c>
      <c r="C35" s="69"/>
      <c r="D35" s="69"/>
      <c r="E35" s="69"/>
      <c r="F35" s="69"/>
      <c r="G35" s="69"/>
      <c r="H35" s="69"/>
      <c r="I35" s="69"/>
      <c r="J35" s="69"/>
      <c r="K35" s="69"/>
      <c r="L35" s="69"/>
      <c r="M35" s="69"/>
      <c r="N35" s="69"/>
    </row>
    <row r="36" spans="1:15" ht="31.15" customHeight="1" x14ac:dyDescent="0.25">
      <c r="A36" s="61">
        <v>4</v>
      </c>
      <c r="B36" s="69" t="s">
        <v>88</v>
      </c>
      <c r="C36" s="69"/>
      <c r="D36" s="69"/>
      <c r="E36" s="69"/>
      <c r="F36" s="69"/>
      <c r="G36" s="69"/>
      <c r="H36" s="69"/>
      <c r="I36" s="69"/>
      <c r="J36" s="69"/>
      <c r="K36" s="69"/>
      <c r="L36" s="69"/>
      <c r="M36" s="69"/>
      <c r="N36" s="69"/>
    </row>
    <row r="37" spans="1:15" ht="44.45" customHeight="1" x14ac:dyDescent="0.25">
      <c r="A37" s="61">
        <v>5</v>
      </c>
      <c r="B37" s="69" t="s">
        <v>96</v>
      </c>
      <c r="C37" s="69"/>
      <c r="D37" s="69"/>
      <c r="E37" s="69"/>
      <c r="F37" s="69"/>
      <c r="G37" s="69"/>
      <c r="H37" s="69"/>
      <c r="I37" s="69"/>
      <c r="J37" s="69"/>
      <c r="K37" s="69"/>
      <c r="L37" s="69"/>
      <c r="M37" s="69"/>
      <c r="N37" s="69"/>
    </row>
    <row r="38" spans="1:15" ht="21.75" customHeight="1" x14ac:dyDescent="0.25"/>
    <row r="40" spans="1:15" x14ac:dyDescent="0.25">
      <c r="B40" s="64" t="s">
        <v>14</v>
      </c>
      <c r="C40" s="64"/>
      <c r="D40" s="64"/>
      <c r="E40" s="64"/>
      <c r="F40" s="64"/>
      <c r="G40" s="64"/>
      <c r="H40" s="64"/>
      <c r="I40" s="64"/>
      <c r="J40" s="64"/>
      <c r="K40" s="64"/>
      <c r="L40" s="64"/>
      <c r="M40" s="64"/>
      <c r="N40" s="64"/>
    </row>
  </sheetData>
  <sheetProtection algorithmName="SHA-512" hashValue="LWbIDVYiCRj5DE90NK4LlR4gL1T/KzFUhXeG5Dsbce+BqgxOP+MUsq2E5mI7YJ6jw4ajeryVrweNTVWX5I1VXQ==" saltValue="9euK13MZf3cJ8SSjHGIiiA==" spinCount="100000" sheet="1" selectLockedCells="1"/>
  <mergeCells count="14">
    <mergeCell ref="B37:N37"/>
    <mergeCell ref="B40:N40"/>
    <mergeCell ref="B26:E26"/>
    <mergeCell ref="B27:F27"/>
    <mergeCell ref="B33:O33"/>
    <mergeCell ref="B34:N34"/>
    <mergeCell ref="B35:N35"/>
    <mergeCell ref="B36:N36"/>
    <mergeCell ref="B18:D18"/>
    <mergeCell ref="F2:N2"/>
    <mergeCell ref="F5:H5"/>
    <mergeCell ref="B7:N7"/>
    <mergeCell ref="C13:D13"/>
    <mergeCell ref="B17:D17"/>
  </mergeCells>
  <hyperlinks>
    <hyperlink ref="B17" r:id="rId1" display="Will you enroll in DU's health insurance plan?" xr:uid="{9D6C446D-E049-40EA-BB86-292B9BF588DB}"/>
    <hyperlink ref="B18" r:id="rId2" display="Will you use DU Health &amp; Counseling Services? " xr:uid="{950F8145-08BC-4557-ADBD-F0BA899B43C3}"/>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BC648790-4302-4226-89B0-2661BEDB0B46}">
          <x14:formula1>
            <xm:f>Data1!$A$31:$A$32</xm:f>
          </x14:formula1>
          <xm:sqref>F5:H5</xm:sqref>
        </x14:dataValidation>
        <x14:dataValidation type="list" allowBlank="1" showInputMessage="1" showErrorMessage="1" xr:uid="{410228BC-7DAE-4B4E-BA48-2B274EC48570}">
          <x14:formula1>
            <xm:f>Data1!$E$46:$E$64</xm:f>
          </x14:formula1>
          <xm:sqref>M9 I9 K9</xm:sqref>
        </x14:dataValidation>
        <x14:dataValidation type="list" allowBlank="1" showInputMessage="1" showErrorMessage="1" xr:uid="{E79E9620-28B4-4E59-AD34-4A284D6CA1F3}">
          <x14:formula1>
            <xm:f>Data1!$A$25:$A$26</xm:f>
          </x14:formula1>
          <xm:sqref>E17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64"/>
  <sheetViews>
    <sheetView showGridLines="0" workbookViewId="0">
      <selection activeCell="P15" sqref="P15"/>
    </sheetView>
  </sheetViews>
  <sheetFormatPr defaultColWidth="8.85546875" defaultRowHeight="15" x14ac:dyDescent="0.25"/>
  <cols>
    <col min="5" max="5" width="12.140625" bestFit="1" customWidth="1"/>
    <col min="6" max="10" width="11.85546875" customWidth="1"/>
    <col min="11" max="11" width="12" bestFit="1" customWidth="1"/>
    <col min="12" max="13" width="11.85546875" customWidth="1"/>
  </cols>
  <sheetData>
    <row r="1" spans="1:29" x14ac:dyDescent="0.25">
      <c r="A1" s="8" t="s">
        <v>60</v>
      </c>
      <c r="F1" s="8" t="s">
        <v>43</v>
      </c>
      <c r="G1" s="8" t="s">
        <v>104</v>
      </c>
      <c r="H1" s="8" t="s">
        <v>103</v>
      </c>
      <c r="K1" s="8" t="s">
        <v>89</v>
      </c>
    </row>
    <row r="2" spans="1:29" x14ac:dyDescent="0.25">
      <c r="A2" t="s">
        <v>82</v>
      </c>
      <c r="F2" t="s">
        <v>82</v>
      </c>
      <c r="K2" t="s">
        <v>82</v>
      </c>
    </row>
    <row r="3" spans="1:29" x14ac:dyDescent="0.25">
      <c r="A3" t="s">
        <v>44</v>
      </c>
      <c r="B3">
        <v>0</v>
      </c>
      <c r="C3">
        <v>0</v>
      </c>
      <c r="D3">
        <v>0</v>
      </c>
      <c r="F3" t="s">
        <v>44</v>
      </c>
      <c r="G3">
        <v>0</v>
      </c>
      <c r="H3">
        <v>0</v>
      </c>
      <c r="I3">
        <v>0</v>
      </c>
      <c r="K3" t="s">
        <v>44</v>
      </c>
      <c r="L3">
        <v>0</v>
      </c>
      <c r="M3">
        <v>0</v>
      </c>
      <c r="N3">
        <v>0</v>
      </c>
      <c r="O3" s="69"/>
      <c r="P3" s="69"/>
      <c r="Q3" s="69"/>
      <c r="R3" s="69"/>
      <c r="S3" s="69"/>
      <c r="T3" s="69"/>
      <c r="U3" s="69"/>
      <c r="V3" s="69"/>
      <c r="W3" s="69"/>
      <c r="X3" s="69"/>
      <c r="Y3" s="69"/>
      <c r="Z3" s="69"/>
      <c r="AA3" s="69"/>
    </row>
    <row r="4" spans="1:29" x14ac:dyDescent="0.25">
      <c r="A4" t="s">
        <v>26</v>
      </c>
      <c r="B4">
        <v>4876</v>
      </c>
      <c r="C4">
        <v>16</v>
      </c>
      <c r="D4">
        <v>57</v>
      </c>
      <c r="F4" t="s">
        <v>26</v>
      </c>
      <c r="G4">
        <v>6640</v>
      </c>
      <c r="H4">
        <v>6972</v>
      </c>
      <c r="I4">
        <v>16</v>
      </c>
      <c r="K4" t="s">
        <v>26</v>
      </c>
      <c r="L4">
        <v>6672</v>
      </c>
      <c r="M4">
        <v>16</v>
      </c>
      <c r="N4">
        <v>57</v>
      </c>
      <c r="O4" s="50"/>
      <c r="P4" s="8" t="s">
        <v>93</v>
      </c>
      <c r="Q4" s="50"/>
      <c r="R4" s="50"/>
      <c r="S4" s="50"/>
      <c r="T4" s="50"/>
      <c r="U4" s="50"/>
      <c r="V4" s="50"/>
      <c r="W4" s="50"/>
      <c r="X4" s="50"/>
      <c r="Y4" s="50"/>
      <c r="Z4" s="50"/>
      <c r="AA4" s="50"/>
    </row>
    <row r="5" spans="1:29" ht="14.45" customHeight="1" x14ac:dyDescent="0.25">
      <c r="A5" t="s">
        <v>27</v>
      </c>
      <c r="B5">
        <v>6095</v>
      </c>
      <c r="C5">
        <v>20</v>
      </c>
      <c r="D5">
        <v>57</v>
      </c>
      <c r="F5" t="s">
        <v>27</v>
      </c>
      <c r="G5">
        <v>8300</v>
      </c>
      <c r="H5">
        <v>8715</v>
      </c>
      <c r="I5">
        <v>20</v>
      </c>
      <c r="K5" t="s">
        <v>27</v>
      </c>
      <c r="L5">
        <v>8340</v>
      </c>
      <c r="M5">
        <v>20</v>
      </c>
      <c r="N5">
        <v>57</v>
      </c>
      <c r="P5" t="s">
        <v>94</v>
      </c>
      <c r="Q5" s="50"/>
      <c r="R5" s="50"/>
      <c r="S5" s="50"/>
      <c r="T5" s="50"/>
      <c r="U5" s="50"/>
      <c r="V5" s="50"/>
      <c r="W5" s="50"/>
      <c r="X5" s="50"/>
      <c r="Y5" s="50"/>
      <c r="Z5" s="50"/>
      <c r="AA5" s="50"/>
      <c r="AB5" s="50"/>
      <c r="AC5" s="50"/>
    </row>
    <row r="6" spans="1:29" ht="14.45" customHeight="1" x14ac:dyDescent="0.25">
      <c r="A6" t="s">
        <v>28</v>
      </c>
      <c r="B6">
        <v>7314</v>
      </c>
      <c r="C6">
        <v>24</v>
      </c>
      <c r="D6">
        <v>57</v>
      </c>
      <c r="F6" t="s">
        <v>28</v>
      </c>
      <c r="G6">
        <v>9960</v>
      </c>
      <c r="H6">
        <v>10458</v>
      </c>
      <c r="I6">
        <v>24</v>
      </c>
      <c r="K6" t="s">
        <v>28</v>
      </c>
      <c r="L6">
        <v>10008</v>
      </c>
      <c r="M6">
        <v>24</v>
      </c>
      <c r="N6">
        <v>57</v>
      </c>
      <c r="P6" t="s">
        <v>95</v>
      </c>
      <c r="Q6" s="50"/>
      <c r="R6" s="50"/>
      <c r="S6" s="50"/>
      <c r="T6" s="50"/>
      <c r="U6" s="50"/>
      <c r="V6" s="50"/>
      <c r="W6" s="50"/>
      <c r="X6" s="50"/>
      <c r="Y6" s="50"/>
      <c r="Z6" s="50"/>
      <c r="AA6" s="50"/>
      <c r="AB6" s="50"/>
      <c r="AC6" s="50"/>
    </row>
    <row r="7" spans="1:29" x14ac:dyDescent="0.25">
      <c r="A7" t="s">
        <v>29</v>
      </c>
      <c r="B7">
        <v>8533</v>
      </c>
      <c r="C7">
        <v>28</v>
      </c>
      <c r="D7">
        <v>57</v>
      </c>
      <c r="F7" t="s">
        <v>29</v>
      </c>
      <c r="G7">
        <v>11620</v>
      </c>
      <c r="H7">
        <v>12201</v>
      </c>
      <c r="I7">
        <v>28</v>
      </c>
      <c r="K7" t="s">
        <v>29</v>
      </c>
      <c r="L7">
        <v>11676</v>
      </c>
      <c r="M7">
        <v>28</v>
      </c>
      <c r="N7">
        <v>57</v>
      </c>
    </row>
    <row r="8" spans="1:29" x14ac:dyDescent="0.25">
      <c r="A8" t="s">
        <v>30</v>
      </c>
      <c r="B8">
        <v>9752</v>
      </c>
      <c r="C8">
        <v>32</v>
      </c>
      <c r="D8">
        <v>57</v>
      </c>
      <c r="F8" t="s">
        <v>30</v>
      </c>
      <c r="G8">
        <v>13280</v>
      </c>
      <c r="H8">
        <v>13944</v>
      </c>
      <c r="I8">
        <v>32</v>
      </c>
      <c r="K8" t="s">
        <v>30</v>
      </c>
      <c r="L8">
        <v>13344</v>
      </c>
      <c r="M8">
        <v>32</v>
      </c>
      <c r="N8">
        <v>57</v>
      </c>
      <c r="P8" s="8" t="s">
        <v>105</v>
      </c>
    </row>
    <row r="9" spans="1:29" x14ac:dyDescent="0.25">
      <c r="A9" t="s">
        <v>31</v>
      </c>
      <c r="B9">
        <v>10971</v>
      </c>
      <c r="C9">
        <v>36</v>
      </c>
      <c r="D9">
        <v>57</v>
      </c>
      <c r="F9" t="s">
        <v>31</v>
      </c>
      <c r="G9">
        <v>14940</v>
      </c>
      <c r="H9">
        <v>15687</v>
      </c>
      <c r="I9">
        <v>36</v>
      </c>
      <c r="K9" t="s">
        <v>31</v>
      </c>
      <c r="L9">
        <v>15012</v>
      </c>
      <c r="M9">
        <v>36</v>
      </c>
      <c r="N9">
        <v>57</v>
      </c>
      <c r="P9" t="s">
        <v>106</v>
      </c>
    </row>
    <row r="10" spans="1:29" x14ac:dyDescent="0.25">
      <c r="A10" t="s">
        <v>32</v>
      </c>
      <c r="B10">
        <v>12190</v>
      </c>
      <c r="C10">
        <v>40</v>
      </c>
      <c r="D10">
        <v>57</v>
      </c>
      <c r="F10" t="s">
        <v>32</v>
      </c>
      <c r="G10">
        <v>16600</v>
      </c>
      <c r="H10">
        <v>17430</v>
      </c>
      <c r="I10">
        <v>40</v>
      </c>
      <c r="K10" t="s">
        <v>32</v>
      </c>
      <c r="L10">
        <v>16680</v>
      </c>
      <c r="M10">
        <v>40</v>
      </c>
      <c r="N10">
        <v>57</v>
      </c>
      <c r="P10" t="s">
        <v>107</v>
      </c>
    </row>
    <row r="11" spans="1:29" x14ac:dyDescent="0.25">
      <c r="A11" t="s">
        <v>33</v>
      </c>
      <c r="B11">
        <v>13409</v>
      </c>
      <c r="C11">
        <v>44</v>
      </c>
      <c r="D11">
        <v>57</v>
      </c>
      <c r="F11" t="s">
        <v>33</v>
      </c>
      <c r="G11">
        <v>18260</v>
      </c>
      <c r="H11">
        <v>19173</v>
      </c>
      <c r="I11">
        <v>44</v>
      </c>
      <c r="K11" t="s">
        <v>33</v>
      </c>
      <c r="L11">
        <v>18348</v>
      </c>
      <c r="M11">
        <v>44</v>
      </c>
      <c r="N11">
        <v>57</v>
      </c>
    </row>
    <row r="12" spans="1:29" x14ac:dyDescent="0.25">
      <c r="A12" t="s">
        <v>34</v>
      </c>
      <c r="B12">
        <v>14628</v>
      </c>
      <c r="C12">
        <v>48</v>
      </c>
      <c r="D12">
        <v>57</v>
      </c>
      <c r="F12" t="s">
        <v>34</v>
      </c>
      <c r="G12">
        <v>19920</v>
      </c>
      <c r="H12">
        <v>20916</v>
      </c>
      <c r="I12">
        <v>48</v>
      </c>
      <c r="K12" t="s">
        <v>34</v>
      </c>
      <c r="L12">
        <v>20016</v>
      </c>
      <c r="M12">
        <v>48</v>
      </c>
      <c r="N12">
        <v>57</v>
      </c>
      <c r="P12" s="8" t="s">
        <v>121</v>
      </c>
    </row>
    <row r="13" spans="1:29" x14ac:dyDescent="0.25">
      <c r="A13" t="s">
        <v>35</v>
      </c>
      <c r="B13">
        <v>15847</v>
      </c>
      <c r="C13">
        <v>52</v>
      </c>
      <c r="D13">
        <v>57</v>
      </c>
      <c r="F13" t="s">
        <v>35</v>
      </c>
      <c r="G13">
        <v>21580</v>
      </c>
      <c r="H13">
        <v>22659</v>
      </c>
      <c r="I13">
        <v>52</v>
      </c>
      <c r="K13" t="s">
        <v>35</v>
      </c>
      <c r="L13">
        <v>21684</v>
      </c>
      <c r="M13">
        <v>52</v>
      </c>
      <c r="N13">
        <v>57</v>
      </c>
      <c r="P13" t="s">
        <v>122</v>
      </c>
    </row>
    <row r="14" spans="1:29" x14ac:dyDescent="0.25">
      <c r="A14" t="s">
        <v>36</v>
      </c>
      <c r="B14">
        <v>17066</v>
      </c>
      <c r="C14">
        <v>56</v>
      </c>
      <c r="D14">
        <v>57</v>
      </c>
      <c r="F14" t="s">
        <v>36</v>
      </c>
      <c r="G14">
        <v>23240</v>
      </c>
      <c r="H14">
        <v>24402</v>
      </c>
      <c r="I14">
        <v>56</v>
      </c>
      <c r="K14" t="s">
        <v>36</v>
      </c>
      <c r="L14">
        <v>23352</v>
      </c>
      <c r="M14">
        <v>56</v>
      </c>
      <c r="N14">
        <v>57</v>
      </c>
      <c r="P14" t="s">
        <v>123</v>
      </c>
    </row>
    <row r="15" spans="1:29" x14ac:dyDescent="0.25">
      <c r="A15" t="s">
        <v>37</v>
      </c>
      <c r="B15">
        <v>18285</v>
      </c>
      <c r="C15">
        <v>60</v>
      </c>
      <c r="D15">
        <v>57</v>
      </c>
      <c r="F15" t="s">
        <v>37</v>
      </c>
      <c r="G15">
        <v>24900</v>
      </c>
      <c r="H15">
        <v>26145</v>
      </c>
      <c r="I15">
        <v>60</v>
      </c>
      <c r="K15" t="s">
        <v>37</v>
      </c>
      <c r="L15">
        <v>25020</v>
      </c>
      <c r="M15">
        <v>60</v>
      </c>
      <c r="N15">
        <v>57</v>
      </c>
    </row>
    <row r="16" spans="1:29" x14ac:dyDescent="0.25">
      <c r="A16" t="s">
        <v>38</v>
      </c>
      <c r="B16">
        <v>19504</v>
      </c>
      <c r="C16">
        <v>64</v>
      </c>
      <c r="D16">
        <v>57</v>
      </c>
      <c r="F16" t="s">
        <v>38</v>
      </c>
      <c r="G16">
        <v>26560</v>
      </c>
      <c r="H16">
        <v>27888</v>
      </c>
      <c r="I16">
        <v>64</v>
      </c>
      <c r="K16" t="s">
        <v>38</v>
      </c>
      <c r="L16">
        <v>26688</v>
      </c>
      <c r="M16">
        <v>64</v>
      </c>
      <c r="N16">
        <v>57</v>
      </c>
    </row>
    <row r="17" spans="1:18" x14ac:dyDescent="0.25">
      <c r="A17" t="s">
        <v>39</v>
      </c>
      <c r="B17">
        <v>20723</v>
      </c>
      <c r="C17">
        <v>68</v>
      </c>
      <c r="D17">
        <v>57</v>
      </c>
      <c r="F17" t="s">
        <v>39</v>
      </c>
      <c r="G17">
        <v>28220</v>
      </c>
      <c r="H17">
        <v>29631</v>
      </c>
      <c r="I17">
        <v>68</v>
      </c>
      <c r="K17" t="s">
        <v>39</v>
      </c>
      <c r="L17">
        <v>28356</v>
      </c>
      <c r="M17">
        <v>68</v>
      </c>
      <c r="N17">
        <v>57</v>
      </c>
    </row>
    <row r="18" spans="1:18" x14ac:dyDescent="0.25">
      <c r="A18" t="s">
        <v>40</v>
      </c>
      <c r="B18">
        <v>21942</v>
      </c>
      <c r="C18">
        <v>72</v>
      </c>
      <c r="D18">
        <v>57</v>
      </c>
      <c r="F18" t="s">
        <v>40</v>
      </c>
      <c r="G18">
        <v>29880</v>
      </c>
      <c r="H18">
        <v>31374</v>
      </c>
      <c r="I18">
        <v>72</v>
      </c>
      <c r="K18" t="s">
        <v>40</v>
      </c>
      <c r="L18">
        <v>30024</v>
      </c>
      <c r="M18">
        <v>72</v>
      </c>
      <c r="N18">
        <v>57</v>
      </c>
    </row>
    <row r="19" spans="1:18" x14ac:dyDescent="0.25">
      <c r="A19" t="s">
        <v>41</v>
      </c>
      <c r="B19">
        <v>23161</v>
      </c>
      <c r="C19">
        <v>76</v>
      </c>
      <c r="D19">
        <v>57</v>
      </c>
      <c r="F19" t="s">
        <v>41</v>
      </c>
      <c r="G19">
        <v>31540</v>
      </c>
      <c r="H19">
        <v>33117</v>
      </c>
      <c r="I19">
        <v>76</v>
      </c>
      <c r="K19" t="s">
        <v>41</v>
      </c>
      <c r="L19">
        <v>31692</v>
      </c>
      <c r="M19">
        <v>76</v>
      </c>
      <c r="N19">
        <v>57</v>
      </c>
    </row>
    <row r="20" spans="1:18" x14ac:dyDescent="0.25">
      <c r="A20" t="s">
        <v>42</v>
      </c>
      <c r="B20">
        <v>24380</v>
      </c>
      <c r="C20">
        <v>80</v>
      </c>
      <c r="D20">
        <v>57</v>
      </c>
      <c r="F20" t="s">
        <v>42</v>
      </c>
      <c r="G20">
        <v>33200</v>
      </c>
      <c r="H20">
        <v>34860</v>
      </c>
      <c r="I20">
        <v>80</v>
      </c>
      <c r="K20" t="s">
        <v>42</v>
      </c>
      <c r="L20">
        <v>33360</v>
      </c>
      <c r="M20">
        <v>80</v>
      </c>
      <c r="N20">
        <v>57</v>
      </c>
    </row>
    <row r="21" spans="1:18" x14ac:dyDescent="0.25">
      <c r="A21" t="s">
        <v>53</v>
      </c>
      <c r="B21">
        <v>25599</v>
      </c>
      <c r="C21">
        <v>84</v>
      </c>
      <c r="D21">
        <v>57</v>
      </c>
      <c r="F21" t="s">
        <v>53</v>
      </c>
      <c r="G21">
        <v>34860</v>
      </c>
      <c r="H21">
        <v>36603</v>
      </c>
      <c r="I21">
        <v>84</v>
      </c>
      <c r="K21" t="s">
        <v>53</v>
      </c>
      <c r="L21">
        <v>35028</v>
      </c>
      <c r="M21">
        <v>84</v>
      </c>
      <c r="N21">
        <v>57</v>
      </c>
    </row>
    <row r="22" spans="1:18" x14ac:dyDescent="0.25">
      <c r="A22" t="s">
        <v>54</v>
      </c>
      <c r="B22">
        <v>26818</v>
      </c>
      <c r="C22">
        <v>88</v>
      </c>
      <c r="D22">
        <v>57</v>
      </c>
      <c r="F22" t="s">
        <v>54</v>
      </c>
      <c r="G22">
        <v>36520</v>
      </c>
      <c r="H22">
        <v>38346</v>
      </c>
      <c r="I22">
        <v>88</v>
      </c>
      <c r="K22" t="s">
        <v>54</v>
      </c>
      <c r="L22">
        <v>36696</v>
      </c>
      <c r="M22">
        <v>88</v>
      </c>
      <c r="N22">
        <v>57</v>
      </c>
    </row>
    <row r="24" spans="1:18" x14ac:dyDescent="0.25">
      <c r="A24" s="8" t="s">
        <v>22</v>
      </c>
      <c r="E24" s="8" t="s">
        <v>25</v>
      </c>
      <c r="F24" s="8" t="s">
        <v>92</v>
      </c>
      <c r="G24" s="8" t="s">
        <v>71</v>
      </c>
      <c r="H24" s="8" t="s">
        <v>46</v>
      </c>
      <c r="I24" s="8" t="s">
        <v>48</v>
      </c>
      <c r="K24" s="8" t="s">
        <v>61</v>
      </c>
      <c r="L24" s="8"/>
      <c r="M24" s="8" t="s">
        <v>65</v>
      </c>
      <c r="N24" s="38" t="s">
        <v>46</v>
      </c>
      <c r="P24" s="8" t="s">
        <v>43</v>
      </c>
      <c r="Q24" s="8" t="s">
        <v>65</v>
      </c>
      <c r="R24" s="8"/>
    </row>
    <row r="25" spans="1:18" x14ac:dyDescent="0.25">
      <c r="A25" t="s">
        <v>4</v>
      </c>
      <c r="B25">
        <v>1885</v>
      </c>
      <c r="C25">
        <v>233</v>
      </c>
      <c r="E25" t="s">
        <v>82</v>
      </c>
      <c r="F25" s="8"/>
      <c r="G25" s="8"/>
      <c r="H25" s="8"/>
      <c r="I25" s="8"/>
      <c r="K25" t="s">
        <v>82</v>
      </c>
      <c r="L25" s="8"/>
      <c r="M25" s="8"/>
      <c r="N25" s="38"/>
      <c r="P25" t="s">
        <v>4</v>
      </c>
      <c r="Q25">
        <v>16598</v>
      </c>
    </row>
    <row r="26" spans="1:18" x14ac:dyDescent="0.25">
      <c r="A26" t="s">
        <v>5</v>
      </c>
      <c r="B26">
        <v>0</v>
      </c>
      <c r="C26">
        <v>0</v>
      </c>
      <c r="E26" t="s">
        <v>44</v>
      </c>
      <c r="F26">
        <v>0</v>
      </c>
      <c r="G26">
        <v>0</v>
      </c>
      <c r="H26">
        <v>0</v>
      </c>
      <c r="I26">
        <v>0</v>
      </c>
      <c r="K26" t="s">
        <v>44</v>
      </c>
      <c r="M26">
        <v>0</v>
      </c>
      <c r="N26">
        <v>0</v>
      </c>
      <c r="P26" t="s">
        <v>5</v>
      </c>
      <c r="Q26">
        <v>0</v>
      </c>
    </row>
    <row r="27" spans="1:18" x14ac:dyDescent="0.25">
      <c r="E27" t="s">
        <v>26</v>
      </c>
      <c r="F27">
        <v>4944</v>
      </c>
      <c r="G27">
        <v>4800</v>
      </c>
      <c r="H27">
        <v>16</v>
      </c>
      <c r="I27">
        <v>57</v>
      </c>
      <c r="K27" t="s">
        <v>26</v>
      </c>
      <c r="M27">
        <v>5532</v>
      </c>
      <c r="N27">
        <v>16</v>
      </c>
    </row>
    <row r="28" spans="1:18" x14ac:dyDescent="0.25">
      <c r="E28" t="s">
        <v>27</v>
      </c>
      <c r="F28">
        <v>6180</v>
      </c>
      <c r="G28">
        <v>6000</v>
      </c>
      <c r="H28">
        <v>20</v>
      </c>
      <c r="I28">
        <v>57</v>
      </c>
      <c r="K28" t="s">
        <v>27</v>
      </c>
      <c r="M28">
        <v>6915</v>
      </c>
      <c r="N28">
        <v>20</v>
      </c>
    </row>
    <row r="29" spans="1:18" x14ac:dyDescent="0.25">
      <c r="E29" t="s">
        <v>28</v>
      </c>
      <c r="F29">
        <v>7416</v>
      </c>
      <c r="G29">
        <v>7200</v>
      </c>
      <c r="H29">
        <v>24</v>
      </c>
      <c r="I29">
        <v>57</v>
      </c>
      <c r="K29" t="s">
        <v>28</v>
      </c>
      <c r="M29">
        <v>8298</v>
      </c>
      <c r="N29">
        <v>24</v>
      </c>
    </row>
    <row r="30" spans="1:18" x14ac:dyDescent="0.25">
      <c r="E30" t="s">
        <v>29</v>
      </c>
      <c r="F30">
        <v>8652</v>
      </c>
      <c r="G30">
        <v>8400</v>
      </c>
      <c r="H30">
        <v>28</v>
      </c>
      <c r="I30">
        <v>57</v>
      </c>
      <c r="K30" t="s">
        <v>29</v>
      </c>
      <c r="M30">
        <v>9681</v>
      </c>
      <c r="N30">
        <v>28</v>
      </c>
    </row>
    <row r="31" spans="1:18" x14ac:dyDescent="0.25">
      <c r="A31" t="s">
        <v>91</v>
      </c>
      <c r="E31" t="s">
        <v>30</v>
      </c>
      <c r="F31">
        <v>9888</v>
      </c>
      <c r="G31">
        <v>9600</v>
      </c>
      <c r="H31">
        <v>32</v>
      </c>
      <c r="I31">
        <v>57</v>
      </c>
      <c r="K31" t="s">
        <v>30</v>
      </c>
      <c r="M31">
        <v>11064</v>
      </c>
      <c r="N31">
        <v>32</v>
      </c>
    </row>
    <row r="32" spans="1:18" x14ac:dyDescent="0.25">
      <c r="A32" t="s">
        <v>70</v>
      </c>
      <c r="E32" t="s">
        <v>31</v>
      </c>
      <c r="F32">
        <v>11124</v>
      </c>
      <c r="G32">
        <v>10800</v>
      </c>
      <c r="H32">
        <v>36</v>
      </c>
      <c r="I32">
        <v>57</v>
      </c>
      <c r="K32" t="s">
        <v>31</v>
      </c>
      <c r="M32">
        <v>12447</v>
      </c>
      <c r="N32">
        <v>36</v>
      </c>
    </row>
    <row r="33" spans="1:14" x14ac:dyDescent="0.25">
      <c r="E33" t="s">
        <v>32</v>
      </c>
      <c r="F33">
        <v>12360</v>
      </c>
      <c r="G33">
        <v>12000</v>
      </c>
      <c r="H33">
        <v>40</v>
      </c>
      <c r="I33">
        <v>57</v>
      </c>
      <c r="K33" t="s">
        <v>32</v>
      </c>
      <c r="M33">
        <v>13830</v>
      </c>
      <c r="N33">
        <v>40</v>
      </c>
    </row>
    <row r="34" spans="1:14" x14ac:dyDescent="0.25">
      <c r="A34" t="s">
        <v>108</v>
      </c>
      <c r="E34" t="s">
        <v>33</v>
      </c>
      <c r="F34">
        <v>13596</v>
      </c>
      <c r="G34">
        <v>13200</v>
      </c>
      <c r="H34">
        <v>44</v>
      </c>
      <c r="I34">
        <v>57</v>
      </c>
      <c r="K34" t="s">
        <v>33</v>
      </c>
      <c r="M34">
        <v>15213</v>
      </c>
      <c r="N34">
        <v>44</v>
      </c>
    </row>
    <row r="35" spans="1:14" x14ac:dyDescent="0.25">
      <c r="A35" t="s">
        <v>109</v>
      </c>
      <c r="E35" t="s">
        <v>34</v>
      </c>
      <c r="F35">
        <v>14832</v>
      </c>
      <c r="G35">
        <v>14400</v>
      </c>
      <c r="H35">
        <v>48</v>
      </c>
      <c r="I35">
        <v>57</v>
      </c>
      <c r="K35" t="s">
        <v>34</v>
      </c>
      <c r="M35">
        <v>16596</v>
      </c>
      <c r="N35">
        <v>48</v>
      </c>
    </row>
    <row r="36" spans="1:14" x14ac:dyDescent="0.25">
      <c r="E36" t="s">
        <v>35</v>
      </c>
      <c r="F36">
        <v>16068</v>
      </c>
      <c r="G36">
        <v>15600</v>
      </c>
      <c r="H36">
        <v>52</v>
      </c>
      <c r="I36">
        <v>57</v>
      </c>
      <c r="K36" t="s">
        <v>35</v>
      </c>
      <c r="M36">
        <v>17979</v>
      </c>
      <c r="N36">
        <v>52</v>
      </c>
    </row>
    <row r="37" spans="1:14" x14ac:dyDescent="0.25">
      <c r="E37" t="s">
        <v>36</v>
      </c>
      <c r="F37">
        <v>17304</v>
      </c>
      <c r="G37">
        <v>16800</v>
      </c>
      <c r="H37">
        <v>56</v>
      </c>
      <c r="I37">
        <v>57</v>
      </c>
      <c r="K37" t="s">
        <v>36</v>
      </c>
      <c r="M37">
        <v>19362</v>
      </c>
      <c r="N37">
        <v>56</v>
      </c>
    </row>
    <row r="38" spans="1:14" x14ac:dyDescent="0.25">
      <c r="E38" t="s">
        <v>37</v>
      </c>
      <c r="F38">
        <v>18540</v>
      </c>
      <c r="G38">
        <v>18000</v>
      </c>
      <c r="H38">
        <v>60</v>
      </c>
      <c r="I38">
        <v>57</v>
      </c>
      <c r="K38" t="s">
        <v>37</v>
      </c>
      <c r="M38">
        <v>20745</v>
      </c>
      <c r="N38">
        <v>60</v>
      </c>
    </row>
    <row r="39" spans="1:14" x14ac:dyDescent="0.25">
      <c r="E39" t="s">
        <v>38</v>
      </c>
      <c r="F39">
        <v>19776</v>
      </c>
      <c r="G39">
        <v>19200</v>
      </c>
      <c r="H39">
        <v>64</v>
      </c>
      <c r="I39">
        <v>57</v>
      </c>
      <c r="K39" t="s">
        <v>38</v>
      </c>
      <c r="M39">
        <v>22128</v>
      </c>
      <c r="N39">
        <v>64</v>
      </c>
    </row>
    <row r="40" spans="1:14" x14ac:dyDescent="0.25">
      <c r="E40" t="s">
        <v>39</v>
      </c>
      <c r="F40">
        <v>21012</v>
      </c>
      <c r="G40">
        <v>20400</v>
      </c>
      <c r="H40">
        <v>68</v>
      </c>
      <c r="I40">
        <v>57</v>
      </c>
      <c r="K40" t="s">
        <v>39</v>
      </c>
      <c r="M40">
        <v>23511</v>
      </c>
      <c r="N40">
        <v>68</v>
      </c>
    </row>
    <row r="41" spans="1:14" x14ac:dyDescent="0.25">
      <c r="E41" t="s">
        <v>40</v>
      </c>
      <c r="F41">
        <v>22248</v>
      </c>
      <c r="G41">
        <v>21600</v>
      </c>
      <c r="H41">
        <v>72</v>
      </c>
      <c r="I41">
        <v>57</v>
      </c>
      <c r="K41" t="s">
        <v>40</v>
      </c>
      <c r="M41">
        <v>24894</v>
      </c>
      <c r="N41">
        <v>72</v>
      </c>
    </row>
    <row r="42" spans="1:14" x14ac:dyDescent="0.25">
      <c r="E42" t="s">
        <v>41</v>
      </c>
      <c r="F42">
        <v>23484</v>
      </c>
      <c r="G42">
        <v>22800</v>
      </c>
      <c r="H42">
        <v>76</v>
      </c>
      <c r="I42">
        <v>57</v>
      </c>
      <c r="K42" t="s">
        <v>41</v>
      </c>
      <c r="M42">
        <v>26277</v>
      </c>
      <c r="N42">
        <v>76</v>
      </c>
    </row>
    <row r="43" spans="1:14" x14ac:dyDescent="0.25">
      <c r="E43" t="s">
        <v>42</v>
      </c>
      <c r="F43">
        <v>24720</v>
      </c>
      <c r="G43">
        <v>24000</v>
      </c>
      <c r="H43">
        <v>80</v>
      </c>
      <c r="I43">
        <v>57</v>
      </c>
      <c r="K43" t="s">
        <v>42</v>
      </c>
      <c r="M43">
        <v>27660</v>
      </c>
      <c r="N43">
        <v>80</v>
      </c>
    </row>
    <row r="45" spans="1:14" x14ac:dyDescent="0.25">
      <c r="E45" s="8" t="s">
        <v>47</v>
      </c>
      <c r="F45" s="38" t="s">
        <v>92</v>
      </c>
      <c r="G45" s="38" t="s">
        <v>71</v>
      </c>
      <c r="H45" s="38" t="s">
        <v>46</v>
      </c>
      <c r="I45" s="8"/>
    </row>
    <row r="46" spans="1:14" x14ac:dyDescent="0.25">
      <c r="E46" t="s">
        <v>82</v>
      </c>
      <c r="F46" s="38"/>
      <c r="G46" s="38"/>
      <c r="H46" s="38"/>
    </row>
    <row r="47" spans="1:14" x14ac:dyDescent="0.25">
      <c r="E47" t="s">
        <v>44</v>
      </c>
      <c r="F47">
        <v>0</v>
      </c>
      <c r="G47">
        <v>0</v>
      </c>
      <c r="H47">
        <v>0</v>
      </c>
    </row>
    <row r="48" spans="1:14" x14ac:dyDescent="0.25">
      <c r="E48" t="s">
        <v>26</v>
      </c>
      <c r="F48">
        <v>6492</v>
      </c>
      <c r="G48">
        <v>6272</v>
      </c>
      <c r="H48">
        <v>16</v>
      </c>
    </row>
    <row r="49" spans="5:8" x14ac:dyDescent="0.25">
      <c r="E49" t="s">
        <v>27</v>
      </c>
      <c r="F49">
        <v>8115</v>
      </c>
      <c r="G49">
        <v>7840</v>
      </c>
      <c r="H49">
        <v>20</v>
      </c>
    </row>
    <row r="50" spans="5:8" x14ac:dyDescent="0.25">
      <c r="E50" t="s">
        <v>28</v>
      </c>
      <c r="F50">
        <v>9738</v>
      </c>
      <c r="G50">
        <v>9408</v>
      </c>
      <c r="H50">
        <v>24</v>
      </c>
    </row>
    <row r="51" spans="5:8" x14ac:dyDescent="0.25">
      <c r="E51" t="s">
        <v>29</v>
      </c>
      <c r="F51">
        <v>11361</v>
      </c>
      <c r="G51">
        <v>10976</v>
      </c>
      <c r="H51">
        <v>28</v>
      </c>
    </row>
    <row r="52" spans="5:8" x14ac:dyDescent="0.25">
      <c r="E52" t="s">
        <v>30</v>
      </c>
      <c r="F52">
        <v>12984</v>
      </c>
      <c r="G52">
        <v>12544</v>
      </c>
      <c r="H52">
        <v>32</v>
      </c>
    </row>
    <row r="53" spans="5:8" x14ac:dyDescent="0.25">
      <c r="E53" t="s">
        <v>31</v>
      </c>
      <c r="F53">
        <v>14607</v>
      </c>
      <c r="G53">
        <v>14112</v>
      </c>
      <c r="H53">
        <v>36</v>
      </c>
    </row>
    <row r="54" spans="5:8" x14ac:dyDescent="0.25">
      <c r="E54" t="s">
        <v>32</v>
      </c>
      <c r="F54">
        <v>16230</v>
      </c>
      <c r="G54">
        <v>15680</v>
      </c>
      <c r="H54">
        <v>40</v>
      </c>
    </row>
    <row r="55" spans="5:8" x14ac:dyDescent="0.25">
      <c r="E55" t="s">
        <v>33</v>
      </c>
      <c r="F55">
        <v>17853</v>
      </c>
      <c r="G55">
        <v>17248</v>
      </c>
      <c r="H55">
        <v>44</v>
      </c>
    </row>
    <row r="56" spans="5:8" x14ac:dyDescent="0.25">
      <c r="E56" t="s">
        <v>34</v>
      </c>
      <c r="F56">
        <v>19476</v>
      </c>
      <c r="G56">
        <v>18816</v>
      </c>
      <c r="H56">
        <v>48</v>
      </c>
    </row>
    <row r="57" spans="5:8" x14ac:dyDescent="0.25">
      <c r="E57" t="s">
        <v>35</v>
      </c>
      <c r="F57">
        <v>21099</v>
      </c>
      <c r="G57">
        <v>20384</v>
      </c>
      <c r="H57">
        <v>52</v>
      </c>
    </row>
    <row r="58" spans="5:8" x14ac:dyDescent="0.25">
      <c r="E58" t="s">
        <v>36</v>
      </c>
      <c r="F58">
        <v>22722</v>
      </c>
      <c r="G58">
        <v>21952</v>
      </c>
      <c r="H58">
        <v>56</v>
      </c>
    </row>
    <row r="59" spans="5:8" x14ac:dyDescent="0.25">
      <c r="E59" t="s">
        <v>37</v>
      </c>
      <c r="F59">
        <v>24345</v>
      </c>
      <c r="G59">
        <v>23520</v>
      </c>
      <c r="H59">
        <v>60</v>
      </c>
    </row>
    <row r="60" spans="5:8" x14ac:dyDescent="0.25">
      <c r="E60" t="s">
        <v>38</v>
      </c>
      <c r="F60">
        <v>25968</v>
      </c>
      <c r="G60">
        <v>25088</v>
      </c>
      <c r="H60">
        <v>64</v>
      </c>
    </row>
    <row r="61" spans="5:8" x14ac:dyDescent="0.25">
      <c r="E61" t="s">
        <v>39</v>
      </c>
      <c r="F61">
        <v>27591</v>
      </c>
      <c r="G61">
        <v>26656</v>
      </c>
      <c r="H61">
        <v>68</v>
      </c>
    </row>
    <row r="62" spans="5:8" x14ac:dyDescent="0.25">
      <c r="E62" t="s">
        <v>40</v>
      </c>
      <c r="F62">
        <v>29214</v>
      </c>
      <c r="G62">
        <v>28224</v>
      </c>
      <c r="H62">
        <v>72</v>
      </c>
    </row>
    <row r="63" spans="5:8" x14ac:dyDescent="0.25">
      <c r="E63" t="s">
        <v>41</v>
      </c>
      <c r="F63">
        <v>30837</v>
      </c>
      <c r="G63">
        <v>29792</v>
      </c>
      <c r="H63">
        <v>76</v>
      </c>
    </row>
    <row r="64" spans="5:8" x14ac:dyDescent="0.25">
      <c r="E64" t="s">
        <v>42</v>
      </c>
      <c r="F64">
        <v>32460</v>
      </c>
      <c r="G64">
        <v>31360</v>
      </c>
      <c r="H64">
        <v>80</v>
      </c>
    </row>
  </sheetData>
  <sheetProtection algorithmName="SHA-512" hashValue="/zLJTOkdbWHDdWzWTqKG6qH18vlQnSg5leZSynjdHlhxzGhUzq0T2R2rbj6nvrn8RkWZsEzPaygDfckS2HrBAQ==" saltValue="X1a0vHZMFdYvUVQMPXgQhg==" spinCount="100000" sheet="1" selectLockedCells="1"/>
  <mergeCells count="1">
    <mergeCell ref="O3:AA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9</vt:i4>
      </vt:variant>
    </vt:vector>
  </HeadingPairs>
  <TitlesOfParts>
    <vt:vector size="9" baseType="lpstr">
      <vt:lpstr>Worksheets Home</vt:lpstr>
      <vt:lpstr>BA</vt:lpstr>
      <vt:lpstr>Master's</vt:lpstr>
      <vt:lpstr>Denver MBA</vt:lpstr>
      <vt:lpstr>PMBA</vt:lpstr>
      <vt:lpstr>EMBA</vt:lpstr>
      <vt:lpstr>MBA@Denver</vt:lpstr>
      <vt:lpstr>Executive PhD</vt:lpstr>
      <vt:lpstr>Data1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Lisa Westendorf</cp:lastModifiedBy>
  <cp:lastPrinted>2019-02-07T21:36:17Z</cp:lastPrinted>
  <dcterms:created xsi:type="dcterms:W3CDTF">2018-06-06T22:54:45Z</dcterms:created>
  <dcterms:modified xsi:type="dcterms:W3CDTF">2024-03-01T19:27:24Z</dcterms:modified>
</cp:coreProperties>
</file>