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231"/>
  <fileSharing readOnlyRecommended="1"/>
  <workbookPr/>
  <mc:AlternateContent xmlns:mc="http://schemas.openxmlformats.org/markup-compatibility/2006">
    <mc:Choice Requires="x15">
      <x15ac:absPath xmlns:x15ac="http://schemas.microsoft.com/office/spreadsheetml/2010/11/ac" url="R:\Financial Aid\Communication\2425\Billing Worksheets\"/>
    </mc:Choice>
  </mc:AlternateContent>
  <xr:revisionPtr revIDLastSave="0" documentId="13_ncr:1_{6DB94FBA-FC5A-4C4C-807B-621DC01CFEC2}" xr6:coauthVersionLast="47" xr6:coauthVersionMax="47" xr10:uidLastSave="{00000000-0000-0000-0000-000000000000}"/>
  <workbookProtection workbookAlgorithmName="SHA-512" workbookHashValue="8czcI7mqKKs3yFT2cyQx/tw4FCjq6LOjDps7pm2OGkTzAZ9DyukDKoOROi3u3tIjk7/27biLjmG1iY9BMqgshg==" workbookSaltValue="VvfnXcVgtz24+Ptx98SovQ==" workbookSpinCount="100000" lockStructure="1"/>
  <bookViews>
    <workbookView xWindow="6945" yWindow="1065" windowWidth="19200" windowHeight="11805" tabRatio="721" xr2:uid="{00000000-000D-0000-FFFF-FFFF00000000}"/>
  </bookViews>
  <sheets>
    <sheet name="Worksheets Home" sheetId="4" r:id="rId1"/>
    <sheet name="On-Campus MSW" sheetId="32" r:id="rId2"/>
    <sheet name="On-Campus PhD" sheetId="34" r:id="rId3"/>
    <sheet name="West. CO &amp; 4 Corners" sheetId="12" r:id="rId4"/>
    <sheet name="MSW@Denver" sheetId="15" r:id="rId5"/>
    <sheet name="Data" sheetId="31" state="hidden" r:id="rId6"/>
  </sheets>
  <definedNames>
    <definedName name="Credits">#REF!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13" i="34" l="1"/>
  <c r="N13" i="32"/>
  <c r="O11" i="15" l="1"/>
  <c r="M11" i="15"/>
  <c r="K11" i="15"/>
  <c r="I11" i="15"/>
  <c r="O10" i="15"/>
  <c r="M10" i="15"/>
  <c r="K10" i="15"/>
  <c r="I10" i="15"/>
  <c r="N12" i="34"/>
  <c r="L12" i="34"/>
  <c r="J12" i="34"/>
  <c r="N10" i="34"/>
  <c r="L10" i="34"/>
  <c r="J10" i="34"/>
  <c r="H24" i="34"/>
  <c r="N23" i="34"/>
  <c r="L23" i="34"/>
  <c r="J23" i="34"/>
  <c r="N22" i="34"/>
  <c r="L22" i="34"/>
  <c r="J22" i="34"/>
  <c r="N21" i="34"/>
  <c r="L21" i="34"/>
  <c r="J21" i="34"/>
  <c r="N20" i="34"/>
  <c r="L20" i="34"/>
  <c r="J20" i="34"/>
  <c r="N19" i="34"/>
  <c r="L19" i="34"/>
  <c r="J19" i="34"/>
  <c r="N15" i="34"/>
  <c r="L15" i="34"/>
  <c r="J15" i="34"/>
  <c r="N14" i="34"/>
  <c r="J14" i="34"/>
  <c r="L13" i="34"/>
  <c r="J13" i="34"/>
  <c r="H14" i="34" l="1"/>
  <c r="H13" i="34"/>
  <c r="H22" i="34"/>
  <c r="J25" i="34"/>
  <c r="L25" i="34"/>
  <c r="H21" i="34"/>
  <c r="H25" i="34" s="1"/>
  <c r="H15" i="34"/>
  <c r="N25" i="34"/>
  <c r="N16" i="34"/>
  <c r="H12" i="34"/>
  <c r="L16" i="34"/>
  <c r="H10" i="34"/>
  <c r="J16" i="34"/>
  <c r="N15" i="32"/>
  <c r="L15" i="32"/>
  <c r="J15" i="32"/>
  <c r="L13" i="32"/>
  <c r="J13" i="32"/>
  <c r="N12" i="32"/>
  <c r="L12" i="32"/>
  <c r="J12" i="32"/>
  <c r="N10" i="32"/>
  <c r="L10" i="32"/>
  <c r="J10" i="32"/>
  <c r="J27" i="34" l="1"/>
  <c r="N27" i="34"/>
  <c r="L27" i="34"/>
  <c r="H16" i="34"/>
  <c r="H27" i="34" s="1"/>
  <c r="M11" i="12" l="1"/>
  <c r="K11" i="12"/>
  <c r="I11" i="12"/>
  <c r="M10" i="12"/>
  <c r="K10" i="12"/>
  <c r="I10" i="12"/>
  <c r="O18" i="15" l="1"/>
  <c r="M18" i="15"/>
  <c r="K18" i="15"/>
  <c r="I18" i="15"/>
  <c r="O17" i="15"/>
  <c r="M17" i="15"/>
  <c r="K17" i="15"/>
  <c r="I17" i="15"/>
  <c r="M18" i="12"/>
  <c r="K18" i="12"/>
  <c r="I18" i="12"/>
  <c r="M17" i="12"/>
  <c r="K17" i="12"/>
  <c r="I17" i="12"/>
  <c r="N22" i="32" l="1"/>
  <c r="L22" i="32"/>
  <c r="J22" i="32"/>
  <c r="N21" i="32"/>
  <c r="L21" i="32"/>
  <c r="J21" i="32"/>
  <c r="H13" i="32" l="1"/>
  <c r="G18" i="15" l="1"/>
  <c r="G17" i="15"/>
  <c r="G18" i="12" l="1"/>
  <c r="G17" i="12"/>
  <c r="N14" i="32"/>
  <c r="J14" i="32"/>
  <c r="J19" i="32" l="1"/>
  <c r="L19" i="32"/>
  <c r="N19" i="32"/>
  <c r="J20" i="32"/>
  <c r="L20" i="32"/>
  <c r="N20" i="32"/>
  <c r="J23" i="32"/>
  <c r="L23" i="32"/>
  <c r="N23" i="32"/>
  <c r="H24" i="32"/>
  <c r="N16" i="32" l="1"/>
  <c r="H14" i="32"/>
  <c r="H15" i="32"/>
  <c r="L16" i="32"/>
  <c r="H12" i="32"/>
  <c r="H10" i="32"/>
  <c r="J25" i="32"/>
  <c r="H21" i="32"/>
  <c r="N25" i="32"/>
  <c r="L25" i="32"/>
  <c r="H22" i="32"/>
  <c r="J16" i="32"/>
  <c r="N27" i="32" l="1"/>
  <c r="L27" i="32"/>
  <c r="H16" i="32"/>
  <c r="J27" i="32"/>
  <c r="H25" i="32"/>
  <c r="H27" i="32" l="1"/>
  <c r="O19" i="15" l="1"/>
  <c r="O16" i="15"/>
  <c r="O15" i="15"/>
  <c r="M19" i="15"/>
  <c r="M16" i="15"/>
  <c r="M15" i="15"/>
  <c r="K19" i="15"/>
  <c r="K16" i="15"/>
  <c r="K15" i="15"/>
  <c r="I19" i="15"/>
  <c r="I16" i="15"/>
  <c r="I15" i="15"/>
  <c r="M19" i="12"/>
  <c r="M16" i="12"/>
  <c r="M15" i="12"/>
  <c r="K19" i="12"/>
  <c r="K16" i="12"/>
  <c r="K15" i="12"/>
  <c r="G20" i="15" l="1"/>
  <c r="M21" i="15" l="1"/>
  <c r="O12" i="15"/>
  <c r="M12" i="15"/>
  <c r="K12" i="15"/>
  <c r="G11" i="15"/>
  <c r="I12" i="15"/>
  <c r="G10" i="15"/>
  <c r="G21" i="15"/>
  <c r="I19" i="12"/>
  <c r="I16" i="12"/>
  <c r="I15" i="12"/>
  <c r="O21" i="15" l="1"/>
  <c r="O23" i="15" s="1"/>
  <c r="M23" i="15"/>
  <c r="I21" i="15"/>
  <c r="I23" i="15" s="1"/>
  <c r="G12" i="15"/>
  <c r="G23" i="15" s="1"/>
  <c r="K21" i="15"/>
  <c r="K23" i="15" s="1"/>
  <c r="M21" i="12" l="1"/>
  <c r="I12" i="12"/>
  <c r="K12" i="12"/>
  <c r="M12" i="12"/>
  <c r="G11" i="12"/>
  <c r="G10" i="12"/>
  <c r="G21" i="12"/>
  <c r="I21" i="12" l="1"/>
  <c r="I23" i="12" s="1"/>
  <c r="K21" i="12"/>
  <c r="K23" i="12" s="1"/>
  <c r="M23" i="12"/>
  <c r="G12" i="12"/>
  <c r="G23" i="12" s="1"/>
</calcChain>
</file>

<file path=xl/sharedStrings.xml><?xml version="1.0" encoding="utf-8"?>
<sst xmlns="http://schemas.openxmlformats.org/spreadsheetml/2006/main" count="265" uniqueCount="88">
  <si>
    <t>Fees:</t>
  </si>
  <si>
    <r>
      <t>Tuition</t>
    </r>
    <r>
      <rPr>
        <vertAlign val="superscript"/>
        <sz val="11"/>
        <color theme="1"/>
        <rFont val="Calibri"/>
        <family val="2"/>
        <scheme val="minor"/>
      </rPr>
      <t>1</t>
    </r>
  </si>
  <si>
    <r>
      <t>Technology Fee</t>
    </r>
    <r>
      <rPr>
        <vertAlign val="superscript"/>
        <sz val="11"/>
        <color theme="1"/>
        <rFont val="Calibri"/>
        <family val="2"/>
        <scheme val="minor"/>
      </rPr>
      <t>2</t>
    </r>
  </si>
  <si>
    <t>ANNUAL</t>
  </si>
  <si>
    <t>Yes</t>
  </si>
  <si>
    <t>No</t>
  </si>
  <si>
    <t>Total Charges:</t>
  </si>
  <si>
    <t>CHARGES</t>
  </si>
  <si>
    <t>Outside Scholarship(s)</t>
  </si>
  <si>
    <t>Other Assistance</t>
  </si>
  <si>
    <t>Total Credits:</t>
  </si>
  <si>
    <t>CREDITS</t>
  </si>
  <si>
    <t>Estimated Balance:</t>
  </si>
  <si>
    <t>Notes:</t>
  </si>
  <si>
    <r>
      <t xml:space="preserve">Financial Aid | University Hall 255 | Ph: 303-871-4020 | Fax: 303-871-2341 | </t>
    </r>
    <r>
      <rPr>
        <u/>
        <sz val="11"/>
        <color rgb="FF98002E"/>
        <rFont val="Calibri"/>
        <family val="2"/>
        <scheme val="minor"/>
      </rPr>
      <t>finaid@du.edu</t>
    </r>
    <r>
      <rPr>
        <sz val="11"/>
        <color theme="1"/>
        <rFont val="Calibri"/>
        <family val="2"/>
        <scheme val="minor"/>
      </rPr>
      <t xml:space="preserve"> | </t>
    </r>
    <r>
      <rPr>
        <u/>
        <sz val="11"/>
        <color rgb="FF98002E"/>
        <rFont val="Calibri"/>
        <family val="2"/>
        <scheme val="minor"/>
      </rPr>
      <t>www.du.edu/financialaid</t>
    </r>
  </si>
  <si>
    <t>How many credits do you plan to take each quarter?</t>
  </si>
  <si>
    <t>DU Scholarships and Grants</t>
  </si>
  <si>
    <t>Student Fees</t>
  </si>
  <si>
    <r>
      <rPr>
        <vertAlign val="superscript"/>
        <sz val="11"/>
        <color theme="1"/>
        <rFont val="Calibri"/>
        <family val="2"/>
        <scheme val="minor"/>
      </rPr>
      <t>2</t>
    </r>
    <r>
      <rPr>
        <sz val="11"/>
        <color theme="1"/>
        <rFont val="Calibri"/>
        <family val="2"/>
        <scheme val="minor"/>
      </rPr>
      <t>Technology fees are $4 per credit. If you will be enrolled in less than 4 credits, you will not be eligible for federal student loans.</t>
    </r>
  </si>
  <si>
    <r>
      <t>Direct Unsubsidized Loan</t>
    </r>
    <r>
      <rPr>
        <vertAlign val="superscript"/>
        <sz val="11"/>
        <color theme="1"/>
        <rFont val="Calibri"/>
        <family val="2"/>
        <scheme val="minor"/>
      </rPr>
      <t>3</t>
    </r>
  </si>
  <si>
    <r>
      <t>Direct Graduate PLUS Loan</t>
    </r>
    <r>
      <rPr>
        <vertAlign val="superscript"/>
        <sz val="11"/>
        <color theme="1"/>
        <rFont val="Calibri"/>
        <family val="2"/>
        <scheme val="minor"/>
      </rPr>
      <t>4</t>
    </r>
  </si>
  <si>
    <t>Health Insurance</t>
  </si>
  <si>
    <t>Other Annual Assistance</t>
  </si>
  <si>
    <t>Payment(s) Made and/or Employer Reimbursements</t>
  </si>
  <si>
    <t>4 credits</t>
  </si>
  <si>
    <t>5 credits</t>
  </si>
  <si>
    <t>6 credits</t>
  </si>
  <si>
    <t>7 credits</t>
  </si>
  <si>
    <t>8 credits</t>
  </si>
  <si>
    <t>9 credits</t>
  </si>
  <si>
    <t>10 credits</t>
  </si>
  <si>
    <t>11 credits</t>
  </si>
  <si>
    <t>12 credits</t>
  </si>
  <si>
    <t>13 credits</t>
  </si>
  <si>
    <t>14 credits</t>
  </si>
  <si>
    <t>15 credits</t>
  </si>
  <si>
    <t>16 credits</t>
  </si>
  <si>
    <t>17 credits</t>
  </si>
  <si>
    <t>18 credits</t>
  </si>
  <si>
    <t>19 credits</t>
  </si>
  <si>
    <t>20 credits</t>
  </si>
  <si>
    <t>not enrolled</t>
  </si>
  <si>
    <t>How many credits will you take each quarter?</t>
  </si>
  <si>
    <t>Tech Fee</t>
  </si>
  <si>
    <t>21 credits</t>
  </si>
  <si>
    <t>22 credits</t>
  </si>
  <si>
    <t>Technology fees are $4 per credit. If you will be enrolled in less than 4 credits, you will not be eligible for federal student loans.</t>
  </si>
  <si>
    <t>MSW@Denver</t>
  </si>
  <si>
    <t>Western Colorado or Four Corners Program</t>
  </si>
  <si>
    <t>MSW@Denver Online Program</t>
  </si>
  <si>
    <t>Choose Your Program:</t>
  </si>
  <si>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</si>
  <si>
    <r>
      <rPr>
        <vertAlign val="superscript"/>
        <sz val="11"/>
        <color theme="1"/>
        <rFont val="Calibri"/>
        <family val="2"/>
        <scheme val="minor"/>
      </rPr>
      <t>4</t>
    </r>
    <r>
      <rPr>
        <sz val="11"/>
        <color theme="1"/>
        <rFont val="Calibri"/>
        <family val="2"/>
        <scheme val="minor"/>
      </rPr>
      <t>The Direct Graduate PLUS loan is a supplemental, credit-based loan that you must apply for separately through StudentAid.gov. This loan will not appear on your initial financial aid offer and is not guaranteed financing, since you must be approved by the Department of Education before you can borrow it. This worksheet automatically deducts the 4.228% origination fee from the total amount.</t>
    </r>
  </si>
  <si>
    <t>On-Campus MSW Program</t>
  </si>
  <si>
    <t>On-Campus PhD Program</t>
  </si>
  <si>
    <r>
      <rPr>
        <b/>
        <i/>
        <sz val="11"/>
        <color rgb="FF000000"/>
        <rFont val="Calibri"/>
        <family val="2"/>
        <scheme val="minor"/>
      </rPr>
      <t xml:space="preserve">Note: </t>
    </r>
    <r>
      <rPr>
        <i/>
        <sz val="11"/>
        <color rgb="FF000000"/>
        <rFont val="Calibri"/>
        <family val="2"/>
        <scheme val="minor"/>
      </rPr>
      <t xml:space="preserve">If you are in the Ph.D.,  Western Colorado, Four Corners, or online program, please use the worksheets on the next tabs. </t>
    </r>
  </si>
  <si>
    <t>On-Campus No Flat Rate $1612</t>
  </si>
  <si>
    <r>
      <t xml:space="preserve">Financial Aid | University Hall 255 | Ph: 303-871-4020 | Fax: 303-871-2341 | </t>
    </r>
    <r>
      <rPr>
        <u/>
        <sz val="11"/>
        <color rgb="FFBA0C2F"/>
        <rFont val="Calibri"/>
        <family val="2"/>
        <scheme val="minor"/>
      </rPr>
      <t>finaid@du.edu</t>
    </r>
    <r>
      <rPr>
        <sz val="11"/>
        <color theme="1"/>
        <rFont val="Calibri"/>
        <family val="2"/>
        <scheme val="minor"/>
      </rPr>
      <t xml:space="preserve"> | </t>
    </r>
    <r>
      <rPr>
        <u/>
        <sz val="11"/>
        <color rgb="FFBA0C2F"/>
        <rFont val="Calibri"/>
        <family val="2"/>
        <scheme val="minor"/>
      </rPr>
      <t>www.du.edu/financialaid</t>
    </r>
  </si>
  <si>
    <t>Will you enroll in DU's Health Insurance Plan?</t>
  </si>
  <si>
    <r>
      <t xml:space="preserve">2024-25 Estimated Billing Worksheets
</t>
    </r>
    <r>
      <rPr>
        <b/>
        <i/>
        <sz val="16"/>
        <color theme="1"/>
        <rFont val="Calibri"/>
        <family val="2"/>
        <scheme val="minor"/>
      </rPr>
      <t>Graduate School of Social Work</t>
    </r>
  </si>
  <si>
    <r>
      <t>These worksheets are designed to help you estimate your invoices throughout the academic year.</t>
    </r>
    <r>
      <rPr>
        <b/>
        <sz val="11"/>
        <color rgb="FF000000"/>
        <rFont val="Calibri"/>
        <family val="2"/>
        <scheme val="minor"/>
      </rPr>
      <t xml:space="preserve"> In order to complete a worksheet, you'll need a copy of your most recent 2024-2025 financial aid offer.</t>
    </r>
    <r>
      <rPr>
        <sz val="11"/>
        <color rgb="FF000000"/>
        <rFont val="Calibri"/>
        <family val="2"/>
        <scheme val="minor"/>
      </rPr>
      <t xml:space="preserve"> Fill in the sections highlighted in blue. You will likely not have all the types of aid listed in the "credits" section. Please remember that these worksheets are only a planning tool. Additional, unanticipated charges (such as specific course fees) or credits may be included on your actual bill. </t>
    </r>
  </si>
  <si>
    <r>
      <t xml:space="preserve">2024-25 Estimated Billing Worksheet
</t>
    </r>
    <r>
      <rPr>
        <b/>
        <i/>
        <sz val="16"/>
        <color theme="1"/>
        <rFont val="Calibri"/>
        <family val="2"/>
        <scheme val="minor"/>
      </rPr>
      <t>Denver Campus MSW Program</t>
    </r>
  </si>
  <si>
    <t>select</t>
  </si>
  <si>
    <t>FALL 2024:</t>
  </si>
  <si>
    <t>WINTER 2025:</t>
  </si>
  <si>
    <t>SPRING 2025:</t>
  </si>
  <si>
    <t>FALL 2024</t>
  </si>
  <si>
    <t>WINTER 2025</t>
  </si>
  <si>
    <t>SPRING 2025</t>
  </si>
  <si>
    <t>Tuition for the 2024-25 academic year is $1,310 per credit.</t>
  </si>
  <si>
    <r>
      <t>DU Health &amp; Counseling Fee</t>
    </r>
    <r>
      <rPr>
        <u/>
        <vertAlign val="superscript"/>
        <sz val="11"/>
        <color theme="10"/>
        <rFont val="Calibri"/>
        <family val="2"/>
        <scheme val="minor"/>
      </rPr>
      <t>3</t>
    </r>
  </si>
  <si>
    <r>
      <t xml:space="preserve">The Health and Counseling Fee is $241 per quarter, and is </t>
    </r>
    <r>
      <rPr>
        <i/>
        <sz val="11"/>
        <color theme="1"/>
        <rFont val="Calibri"/>
        <family val="2"/>
        <scheme val="minor"/>
      </rPr>
      <t>mandatory</t>
    </r>
    <r>
      <rPr>
        <sz val="11"/>
        <color theme="1"/>
        <rFont val="Calibri"/>
        <family val="2"/>
        <scheme val="minor"/>
      </rPr>
      <t xml:space="preserve"> for new students who start their program in the fall of 2024 or later and are enrolled
in 8 or more credits. Students who started prior to fall 2024 can waive this fee (just delete the amount in these fields if you plan to waive it).</t>
    </r>
  </si>
  <si>
    <t>This worksheet automatically deducts the 1.057% origination fee from the Direct Unsubsidized loan amount. Most students who submit the FAFSA are eligible to borrow up to $20,500 in an unsubsidized loan per academic year.</t>
  </si>
  <si>
    <t>On-Campus MSW</t>
  </si>
  <si>
    <t>PhD</t>
  </si>
  <si>
    <r>
      <t xml:space="preserve">2024-25 Estimated Billing Worksheet
</t>
    </r>
    <r>
      <rPr>
        <b/>
        <i/>
        <sz val="16"/>
        <color theme="1"/>
        <rFont val="Calibri"/>
        <family val="2"/>
        <scheme val="minor"/>
      </rPr>
      <t>Denver Campus PhD Program</t>
    </r>
  </si>
  <si>
    <r>
      <t>Direct Unsubsidized Loan</t>
    </r>
    <r>
      <rPr>
        <vertAlign val="superscript"/>
        <sz val="11"/>
        <color theme="1"/>
        <rFont val="Calibri"/>
        <family val="2"/>
        <scheme val="minor"/>
      </rPr>
      <t>4</t>
    </r>
  </si>
  <si>
    <r>
      <t>Direct Graduate PLUS Loan</t>
    </r>
    <r>
      <rPr>
        <vertAlign val="superscript"/>
        <sz val="11"/>
        <color theme="1"/>
        <rFont val="Calibri"/>
        <family val="2"/>
        <scheme val="minor"/>
      </rPr>
      <t>5</t>
    </r>
  </si>
  <si>
    <t>Tuition for the 2024-25 academic year is $1,668 per credit.</t>
  </si>
  <si>
    <t>2024-25 Estimated Billing Worksheet
Four Corners &amp; Western Colorado Program</t>
  </si>
  <si>
    <t>4C &amp; West CO ($834)</t>
  </si>
  <si>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are
   eligible to borrow up to $20,500 in an unsubsidized loan per academic year.</t>
    </r>
  </si>
  <si>
    <r>
      <rPr>
        <vertAlign val="superscript"/>
        <sz val="11"/>
        <color theme="1"/>
        <rFont val="Calibri"/>
        <family val="2"/>
        <scheme val="minor"/>
      </rPr>
      <t>1</t>
    </r>
    <r>
      <rPr>
        <sz val="11"/>
        <color theme="1"/>
        <rFont val="Calibri"/>
        <family val="2"/>
        <scheme val="minor"/>
      </rPr>
      <t>Tuition for the 2024-2025 academic year is $834 per credit.</t>
    </r>
  </si>
  <si>
    <t>2024-25 Estimated Billing Worksheet
MSW@Denver Online Program</t>
  </si>
  <si>
    <t>SUMMER 2025:</t>
  </si>
  <si>
    <t>SUMMER 2025</t>
  </si>
  <si>
    <r>
      <rPr>
        <vertAlign val="superscript"/>
        <sz val="11"/>
        <color theme="1"/>
        <rFont val="Calibri"/>
        <family val="2"/>
        <scheme val="minor"/>
      </rPr>
      <t>1</t>
    </r>
    <r>
      <rPr>
        <sz val="11"/>
        <color theme="1"/>
        <rFont val="Calibri"/>
        <family val="2"/>
        <scheme val="minor"/>
      </rPr>
      <t>Tuition for the 2024-2025 academic year is $1,164 per credit.</t>
    </r>
  </si>
  <si>
    <r>
      <rPr>
        <vertAlign val="superscript"/>
        <sz val="11"/>
        <color theme="1"/>
        <rFont val="Calibri"/>
        <family val="2"/>
        <scheme val="minor"/>
      </rPr>
      <t>3</t>
    </r>
    <r>
      <rPr>
        <sz val="11"/>
        <color theme="1"/>
        <rFont val="Calibri"/>
        <family val="2"/>
        <scheme val="minor"/>
      </rPr>
      <t>This worksheet automatically deducts the 1.057% origination fee from the Direct Unsubsidized loan amount. Most students who submit the FAFSA ar
   eligible to borrow up to $20,500 in an unsubsidized loan per academic year.</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</si>
</sst>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0" x14ac:knownFonts="1">
    <font>
      <sz val="11"/>
      <color theme="1"/>
      <name val="Calibri"/>
      <family val="2"/>
      <scheme val="minor"/>
    </font>
    <font>
      <sz val="11"/>
      <color theme="1"/>
      <name val="Calibri"/>
      <family val="2"/>
      <scheme val="minor"/>
    </font>
    <font>
      <b/>
      <sz val="11"/>
      <color theme="1"/>
      <name val="Calibri"/>
      <family val="2"/>
      <scheme val="minor"/>
    </font>
    <font>
      <b/>
      <sz val="16"/>
      <color theme="1"/>
      <name val="Calibri"/>
      <family val="2"/>
      <scheme val="minor"/>
    </font>
    <font>
      <sz val="10"/>
      <color rgb="FF000000"/>
      <name val="Calibri"/>
      <family val="2"/>
      <scheme val="minor"/>
    </font>
    <font>
      <vertAlign val="superscript"/>
      <sz val="11"/>
      <color theme="1"/>
      <name val="Calibri"/>
      <family val="2"/>
      <scheme val="minor"/>
    </font>
    <font>
      <b/>
      <sz val="14"/>
      <color theme="1"/>
      <name val="Calibri"/>
      <family val="2"/>
      <scheme val="minor"/>
    </font>
    <font>
      <u/>
      <sz val="11"/>
      <color rgb="FF98002E"/>
      <name val="Calibri"/>
      <family val="2"/>
      <scheme val="minor"/>
    </font>
    <font>
      <b/>
      <i/>
      <sz val="16"/>
      <color theme="1"/>
      <name val="Calibri"/>
      <family val="2"/>
      <scheme val="minor"/>
    </font>
    <font>
      <b/>
      <sz val="12"/>
      <color theme="1"/>
      <name val="Calibri"/>
      <family val="2"/>
      <scheme val="minor"/>
    </font>
    <font>
      <sz val="11"/>
      <color rgb="FF000000"/>
      <name val="Calibri"/>
      <family val="2"/>
      <scheme val="minor"/>
    </font>
    <font>
      <b/>
      <sz val="11"/>
      <color rgb="FF000000"/>
      <name val="Calibri"/>
      <family val="2"/>
      <scheme val="minor"/>
    </font>
    <font>
      <u/>
      <sz val="11"/>
      <color theme="10"/>
      <name val="Calibri"/>
      <family val="2"/>
      <scheme val="minor"/>
    </font>
    <font>
      <b/>
      <i/>
      <u/>
      <sz val="14"/>
      <color theme="1"/>
      <name val="Calibri"/>
      <family val="2"/>
      <scheme val="minor"/>
    </font>
    <font>
      <i/>
      <sz val="11"/>
      <color rgb="FF000000"/>
      <name val="Calibri"/>
      <family val="2"/>
      <scheme val="minor"/>
    </font>
    <font>
      <b/>
      <i/>
      <sz val="11"/>
      <color rgb="FF000000"/>
      <name val="Calibri"/>
      <family val="2"/>
      <scheme val="minor"/>
    </font>
    <font>
      <b/>
      <i/>
      <sz val="14"/>
      <color rgb="FFBA0C2F"/>
      <name val="Calibri"/>
      <family val="2"/>
      <scheme val="minor"/>
    </font>
    <font>
      <u/>
      <sz val="11"/>
      <color rgb="FFBA0C2F"/>
      <name val="Calibri"/>
      <family val="2"/>
      <scheme val="minor"/>
    </font>
    <font>
      <u/>
      <vertAlign val="superscript"/>
      <sz val="11"/>
      <color theme="10"/>
      <name val="Calibri"/>
      <family val="2"/>
      <scheme val="minor"/>
    </font>
    <font>
      <i/>
      <sz val="11"/>
      <color theme="1"/>
      <name val="Calibri"/>
      <family val="2"/>
      <scheme val="minor"/>
    </font>
  </fonts>
  <fills count="6">
    <fill>
      <patternFill patternType="none"/>
    </fill>
    <fill>
      <patternFill patternType="gray125"/>
    </fill>
    <fill>
      <patternFill patternType="solid">
        <fgColor theme="4" tint="0.59999389629810485"/>
        <bgColor indexed="64"/>
      </patternFill>
    </fill>
    <fill>
      <patternFill patternType="solid">
        <fgColor theme="0" tint="-4.9989318521683403E-2"/>
        <bgColor indexed="64"/>
      </patternFill>
    </fill>
    <fill>
      <patternFill patternType="solid">
        <fgColor theme="0"/>
        <bgColor indexed="64"/>
      </patternFill>
    </fill>
    <fill>
      <patternFill patternType="solid">
        <fgColor theme="4" tint="0.59996337778862885"/>
        <bgColor indexed="64"/>
      </patternFill>
    </fill>
  </fills>
  <borders count="13">
    <border>
      <left/>
      <right/>
      <top/>
      <bottom/>
      <diagonal/>
    </border>
    <border>
      <left/>
      <right/>
      <top style="thin">
        <color indexed="64"/>
      </top>
      <bottom/>
      <diagonal/>
    </border>
    <border>
      <left/>
      <right/>
      <top style="thin">
        <color indexed="64"/>
      </top>
      <bottom style="medium">
        <color indexed="64"/>
      </bottom>
      <diagonal/>
    </border>
    <border>
      <left/>
      <right/>
      <top/>
      <bottom style="thin">
        <color indexed="64"/>
      </bottom>
      <diagonal/>
    </border>
    <border>
      <left style="dashed">
        <color indexed="64"/>
      </left>
      <right style="dashed">
        <color indexed="64"/>
      </right>
      <top style="dashed">
        <color indexed="64"/>
      </top>
      <bottom style="dashed">
        <color indexed="64"/>
      </bottom>
      <diagonal/>
    </border>
    <border>
      <left style="dashed">
        <color indexed="64"/>
      </left>
      <right style="dashed">
        <color indexed="64"/>
      </right>
      <top style="dashed">
        <color indexed="64"/>
      </top>
      <bottom style="thin">
        <color indexed="64"/>
      </bottom>
      <diagonal/>
    </border>
    <border>
      <left style="dashed">
        <color indexed="64"/>
      </left>
      <right style="dashed">
        <color indexed="64"/>
      </right>
      <top/>
      <bottom style="dashed">
        <color indexed="64"/>
      </bottom>
      <diagonal/>
    </border>
    <border>
      <left/>
      <right/>
      <top style="double">
        <color auto="1"/>
      </top>
      <bottom style="double">
        <color auto="1"/>
      </bottom>
      <diagonal/>
    </border>
    <border>
      <left style="thin">
        <color indexed="64"/>
      </left>
      <right style="thin">
        <color indexed="64"/>
      </right>
      <top style="thin">
        <color indexed="64"/>
      </top>
      <bottom style="thin">
        <color indexed="64"/>
      </bottom>
      <diagonal/>
    </border>
    <border>
      <left/>
      <right style="dashed">
        <color indexed="64"/>
      </right>
      <top/>
      <bottom/>
      <diagonal/>
    </border>
    <border>
      <left style="dotted">
        <color indexed="64"/>
      </left>
      <right style="dotted">
        <color indexed="64"/>
      </right>
      <top style="dotted">
        <color indexed="64"/>
      </top>
      <bottom style="thin">
        <color indexed="64"/>
      </bottom>
      <diagonal/>
    </border>
    <border>
      <left/>
      <right/>
      <top/>
      <bottom style="dashed">
        <color indexed="64"/>
      </bottom>
      <diagonal/>
    </border>
    <border>
      <left/>
      <right/>
      <top style="dashed">
        <color indexed="64"/>
      </top>
      <bottom style="thin">
        <color indexed="64"/>
      </bottom>
      <diagonal/>
    </border>
  </borders>
  <cellStyleXfs count="3">
    <xf numFmtId="0" fontId="0" fillId="0" borderId="0"/>
    <xf numFmtId="44" fontId="1" fillId="0" borderId="0" applyFont="0" applyFill="0" applyBorder="0" applyAlignment="0" applyProtection="0"/>
    <xf numFmtId="0" fontId="12" fillId="0" borderId="0" applyNumberFormat="0" applyFill="0" applyBorder="0" applyAlignment="0" applyProtection="0"/>
  </cellStyleXfs>
  <cellXfs count="77">
    <xf numFmtId="0" fontId="0" fillId="0" borderId="0" xfId="0"/>
    <xf numFmtId="0" fontId="2" fillId="0" borderId="2" xfId="0" applyFont="1" applyBorder="1"/>
    <xf numFmtId="0" fontId="0" fillId="0" borderId="2" xfId="0" applyBorder="1"/>
    <xf numFmtId="0" fontId="0" fillId="0" borderId="2" xfId="0" applyBorder="1" applyAlignment="1">
      <alignment horizontal="center"/>
    </xf>
    <xf numFmtId="44" fontId="2" fillId="0" borderId="2" xfId="1" applyFont="1" applyBorder="1" applyAlignment="1">
      <alignment horizontal="center"/>
    </xf>
    <xf numFmtId="44" fontId="0" fillId="0" borderId="0" xfId="1" applyFont="1"/>
    <xf numFmtId="0" fontId="0" fillId="0" borderId="3" xfId="0" applyBorder="1"/>
    <xf numFmtId="44" fontId="0" fillId="0" borderId="3" xfId="1" applyFont="1" applyBorder="1"/>
    <xf numFmtId="0" fontId="2" fillId="0" borderId="0" xfId="0" applyFont="1"/>
    <xf numFmtId="44" fontId="2" fillId="0" borderId="0" xfId="1" applyFont="1"/>
    <xf numFmtId="0" fontId="0" fillId="3" borderId="0" xfId="0" applyFill="1" applyAlignment="1">
      <alignment horizontal="left"/>
    </xf>
    <xf numFmtId="0" fontId="0" fillId="3" borderId="0" xfId="0" applyFill="1"/>
    <xf numFmtId="44" fontId="0" fillId="3" borderId="0" xfId="1" applyFont="1" applyFill="1"/>
    <xf numFmtId="0" fontId="0" fillId="3" borderId="0" xfId="0" applyFill="1" applyAlignment="1">
      <alignment horizontal="left" indent="2"/>
    </xf>
    <xf numFmtId="0" fontId="0" fillId="0" borderId="7" xfId="0" applyBorder="1"/>
    <xf numFmtId="0" fontId="6" fillId="0" borderId="7" xfId="0" applyFont="1" applyBorder="1"/>
    <xf numFmtId="44" fontId="0" fillId="2" borderId="6" xfId="1" applyFont="1" applyFill="1" applyBorder="1" applyProtection="1">
      <protection locked="0"/>
    </xf>
    <xf numFmtId="44" fontId="0" fillId="2" borderId="4" xfId="1" applyFont="1" applyFill="1" applyBorder="1" applyProtection="1">
      <protection locked="0"/>
    </xf>
    <xf numFmtId="44" fontId="0" fillId="2" borderId="4" xfId="0" applyNumberFormat="1" applyFill="1" applyBorder="1" applyProtection="1">
      <protection locked="0"/>
    </xf>
    <xf numFmtId="44" fontId="0" fillId="2" borderId="5" xfId="1" applyFont="1" applyFill="1" applyBorder="1" applyProtection="1">
      <protection locked="0"/>
    </xf>
    <xf numFmtId="0" fontId="0" fillId="0" borderId="1" xfId="0" applyBorder="1"/>
    <xf numFmtId="0" fontId="3" fillId="0" borderId="1" xfId="0" applyFont="1" applyBorder="1" applyAlignment="1">
      <alignment horizontal="right" vertical="top" wrapText="1"/>
    </xf>
    <xf numFmtId="0" fontId="3" fillId="0" borderId="1" xfId="0" applyFont="1" applyBorder="1" applyAlignment="1">
      <alignment horizontal="right" vertical="top"/>
    </xf>
    <xf numFmtId="0" fontId="4" fillId="0" borderId="0" xfId="0" applyFont="1" applyAlignment="1" applyProtection="1">
      <alignment horizontal="center" wrapText="1"/>
      <protection locked="0"/>
    </xf>
    <xf numFmtId="44" fontId="0" fillId="4" borderId="3" xfId="1" applyFont="1" applyFill="1" applyBorder="1" applyProtection="1">
      <protection locked="0"/>
    </xf>
    <xf numFmtId="44" fontId="0" fillId="2" borderId="8" xfId="1" applyFont="1" applyFill="1" applyBorder="1" applyProtection="1">
      <protection locked="0"/>
    </xf>
    <xf numFmtId="44" fontId="9" fillId="0" borderId="7" xfId="1" applyFont="1" applyBorder="1"/>
    <xf numFmtId="0" fontId="9" fillId="0" borderId="7" xfId="0" applyFont="1" applyBorder="1"/>
    <xf numFmtId="0" fontId="0" fillId="3" borderId="3" xfId="0" applyFill="1" applyBorder="1"/>
    <xf numFmtId="44" fontId="0" fillId="3" borderId="3" xfId="1" applyFont="1" applyFill="1" applyBorder="1"/>
    <xf numFmtId="0" fontId="4" fillId="0" borderId="0" xfId="0" applyFont="1" applyAlignment="1">
      <alignment horizontal="left" wrapText="1" indent="1"/>
    </xf>
    <xf numFmtId="44" fontId="0" fillId="3" borderId="0" xfId="1" applyFont="1" applyFill="1" applyBorder="1"/>
    <xf numFmtId="0" fontId="0" fillId="2" borderId="4" xfId="0" applyFill="1" applyBorder="1" applyProtection="1">
      <protection locked="0"/>
    </xf>
    <xf numFmtId="44" fontId="0" fillId="0" borderId="3" xfId="1" applyFont="1" applyFill="1" applyBorder="1"/>
    <xf numFmtId="44" fontId="0" fillId="3" borderId="3" xfId="1" applyFont="1" applyFill="1" applyBorder="1" applyProtection="1">
      <protection locked="0"/>
    </xf>
    <xf numFmtId="44" fontId="0" fillId="0" borderId="0" xfId="1" applyFont="1" applyBorder="1"/>
    <xf numFmtId="0" fontId="0" fillId="0" borderId="0" xfId="0" applyAlignment="1">
      <alignment horizontal="left"/>
    </xf>
    <xf numFmtId="44" fontId="0" fillId="0" borderId="0" xfId="1" applyFont="1" applyFill="1" applyBorder="1"/>
    <xf numFmtId="0" fontId="2" fillId="0" borderId="0" xfId="0" applyFont="1" applyAlignment="1">
      <alignment horizontal="right"/>
    </xf>
    <xf numFmtId="0" fontId="0" fillId="0" borderId="0" xfId="0" applyAlignment="1">
      <alignment horizontal="left" indent="2"/>
    </xf>
    <xf numFmtId="0" fontId="2" fillId="0" borderId="1" xfId="0" applyFont="1" applyBorder="1"/>
    <xf numFmtId="44" fontId="2" fillId="0" borderId="1" xfId="1" applyFont="1" applyBorder="1"/>
    <xf numFmtId="0" fontId="13" fillId="0" borderId="0" xfId="0" applyFont="1" applyAlignment="1">
      <alignment horizontal="left" vertical="top" indent="3"/>
    </xf>
    <xf numFmtId="0" fontId="12" fillId="0" borderId="0" xfId="2" applyAlignment="1" applyProtection="1">
      <alignment horizontal="left" indent="5"/>
      <protection locked="0"/>
    </xf>
    <xf numFmtId="0" fontId="0" fillId="0" borderId="0" xfId="0" applyProtection="1">
      <protection locked="0"/>
    </xf>
    <xf numFmtId="0" fontId="4" fillId="2" borderId="4" xfId="0" applyFont="1" applyFill="1" applyBorder="1" applyAlignment="1" applyProtection="1">
      <alignment wrapText="1"/>
      <protection locked="0"/>
    </xf>
    <xf numFmtId="44" fontId="2" fillId="0" borderId="0" xfId="1" applyFont="1" applyAlignment="1">
      <alignment horizontal="center"/>
    </xf>
    <xf numFmtId="0" fontId="10" fillId="0" borderId="0" xfId="0" applyFont="1" applyAlignment="1">
      <alignment horizontal="left" vertical="center" wrapText="1" indent="1"/>
    </xf>
    <xf numFmtId="0" fontId="5" fillId="0" borderId="0" xfId="0" applyFont="1" applyAlignment="1">
      <alignment horizontal="right" vertical="top"/>
    </xf>
    <xf numFmtId="0" fontId="5" fillId="0" borderId="0" xfId="0" applyFont="1" applyAlignment="1">
      <alignment horizontal="right"/>
    </xf>
    <xf numFmtId="0" fontId="0" fillId="0" borderId="0" xfId="0" applyAlignment="1">
      <alignment wrapText="1"/>
    </xf>
    <xf numFmtId="0" fontId="5" fillId="0" borderId="0" xfId="0" applyFont="1"/>
    <xf numFmtId="44" fontId="0" fillId="2" borderId="10" xfId="1" applyFont="1" applyFill="1" applyBorder="1" applyProtection="1">
      <protection locked="0"/>
    </xf>
    <xf numFmtId="0" fontId="14" fillId="0" borderId="0" xfId="0" applyFont="1" applyAlignment="1">
      <alignment horizontal="left" vertical="top" indent="1"/>
    </xf>
    <xf numFmtId="0" fontId="4" fillId="2" borderId="6" xfId="0" applyFont="1" applyFill="1" applyBorder="1" applyAlignment="1" applyProtection="1">
      <alignment horizontal="center" wrapText="1"/>
      <protection locked="0"/>
    </xf>
    <xf numFmtId="0" fontId="10" fillId="2" borderId="6" xfId="0" applyFont="1" applyFill="1" applyBorder="1" applyAlignment="1" applyProtection="1">
      <alignment horizontal="center" vertical="center"/>
      <protection locked="0"/>
    </xf>
    <xf numFmtId="44" fontId="0" fillId="2" borderId="6" xfId="1" applyFont="1" applyFill="1" applyBorder="1" applyAlignment="1" applyProtection="1">
      <alignment horizontal="center" vertical="center"/>
      <protection locked="0"/>
    </xf>
    <xf numFmtId="0" fontId="0" fillId="2" borderId="6" xfId="0" applyFill="1" applyBorder="1" applyAlignment="1" applyProtection="1">
      <alignment horizontal="center" vertical="center"/>
      <protection locked="0"/>
    </xf>
    <xf numFmtId="44" fontId="2" fillId="0" borderId="11" xfId="1" applyFont="1" applyBorder="1" applyAlignment="1">
      <alignment horizontal="center"/>
    </xf>
    <xf numFmtId="0" fontId="0" fillId="0" borderId="3" xfId="0" applyBorder="1" applyAlignment="1">
      <alignment horizontal="left"/>
    </xf>
    <xf numFmtId="0" fontId="16" fillId="0" borderId="0" xfId="0" applyFont="1" applyAlignment="1">
      <alignment horizontal="left"/>
    </xf>
    <xf numFmtId="44" fontId="0" fillId="5" borderId="10" xfId="1" applyFont="1" applyFill="1" applyBorder="1" applyProtection="1">
      <protection locked="0"/>
    </xf>
    <xf numFmtId="0" fontId="0" fillId="0" borderId="12" xfId="0" applyBorder="1"/>
    <xf numFmtId="0" fontId="0" fillId="0" borderId="1" xfId="0" applyBorder="1" applyAlignment="1">
      <alignment horizontal="center"/>
    </xf>
    <xf numFmtId="0" fontId="3" fillId="0" borderId="3" xfId="0" applyFont="1" applyBorder="1" applyAlignment="1">
      <alignment horizontal="right" wrapText="1"/>
    </xf>
    <xf numFmtId="0" fontId="3" fillId="0" borderId="3" xfId="0" applyFont="1" applyBorder="1" applyAlignment="1">
      <alignment horizontal="right"/>
    </xf>
    <xf numFmtId="0" fontId="10" fillId="0" borderId="0" xfId="0" applyFont="1" applyAlignment="1">
      <alignment horizontal="left" vertical="center" wrapText="1"/>
    </xf>
    <xf numFmtId="0" fontId="3" fillId="0" borderId="0" xfId="0" applyFont="1" applyAlignment="1">
      <alignment horizontal="right" vertical="top" wrapText="1"/>
    </xf>
    <xf numFmtId="0" fontId="3" fillId="0" borderId="0" xfId="0" applyFont="1" applyAlignment="1">
      <alignment horizontal="right" vertical="top"/>
    </xf>
    <xf numFmtId="0" fontId="0" fillId="3" borderId="0" xfId="0" applyFill="1" applyAlignment="1">
      <alignment horizontal="center"/>
    </xf>
    <xf numFmtId="0" fontId="12" fillId="3" borderId="0" xfId="2" applyFill="1" applyBorder="1" applyAlignment="1">
      <alignment horizontal="left"/>
    </xf>
    <xf numFmtId="0" fontId="12" fillId="3" borderId="9" xfId="2" applyFill="1" applyBorder="1" applyAlignment="1">
      <alignment horizontal="left"/>
    </xf>
    <xf numFmtId="0" fontId="12" fillId="0" borderId="3" xfId="2" applyFill="1" applyBorder="1" applyAlignment="1">
      <alignment horizontal="left"/>
    </xf>
    <xf numFmtId="0" fontId="0" fillId="0" borderId="0" xfId="0" applyAlignment="1">
      <alignment horizontal="left"/>
    </xf>
    <xf numFmtId="0" fontId="0" fillId="3" borderId="3" xfId="0" applyFill="1" applyBorder="1" applyAlignment="1">
      <alignment horizontal="left"/>
    </xf>
    <xf numFmtId="0" fontId="0" fillId="0" borderId="0" xfId="0" applyAlignment="1">
      <alignment horizontal="left" wrapText="1"/>
    </xf>
    <xf numFmtId="0" fontId="0" fillId="0" borderId="3" xfId="0" applyBorder="1" applyAlignment="1">
      <alignment horizontal="left"/>
    </xf>
  </cellXfs>
  <cellStyles count="3">
    <cellStyle name="Currency" xfId="1" builtinId="4"/>
    <cellStyle name="Hyperlink" xfId="2" builtinId="8"/>
    <cellStyle name="Normal" xfId="0" builtinId="0"/>
  </cellStyles>
  <dxfs count="0"/>
  <tableStyles count="0" defaultTableStyle="TableStyleMedium2" defaultPivotStyle="PivotStyleLight16"/>
  <colors>
    <mruColors>
      <color rgb="FFBA0C2F"/>
      <color rgb="FF98002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_rels/drawing3.xml.rels><?xml version="1.0" encoding="UTF-8" standalone="yes"?>
<Relationships xmlns="http://schemas.openxmlformats.org/package/2006/relationships"><Relationship Id="rId1" Type="http://schemas.openxmlformats.org/officeDocument/2006/relationships/image" Target="../media/image2.jpeg"/></Relationships>
</file>

<file path=xl/drawings/_rels/drawing4.xml.rels><?xml version="1.0" encoding="UTF-8" standalone="yes"?>
<Relationships xmlns="http://schemas.openxmlformats.org/package/2006/relationships"><Relationship Id="rId1" Type="http://schemas.openxmlformats.org/officeDocument/2006/relationships/image" Target="../media/image3.jpeg"/></Relationships>
</file>

<file path=xl/drawings/_rels/drawing5.xml.rels><?xml version="1.0" encoding="UTF-8" standalone="yes"?>
<Relationships xmlns="http://schemas.openxmlformats.org/package/2006/relationships"><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104760</xdr:rowOff>
    </xdr:from>
    <xdr:to>
      <xdr:col>1</xdr:col>
      <xdr:colOff>1850247</xdr:colOff>
      <xdr:row>1</xdr:row>
      <xdr:rowOff>533400</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50247" cy="42864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1</xdr:col>
      <xdr:colOff>0</xdr:colOff>
      <xdr:row>1</xdr:row>
      <xdr:rowOff>104760</xdr:rowOff>
    </xdr:from>
    <xdr:ext cx="1891362" cy="438165"/>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1</xdr:row>
      <xdr:rowOff>104760</xdr:rowOff>
    </xdr:from>
    <xdr:ext cx="1891362" cy="438165"/>
    <xdr:pic>
      <xdr:nvPicPr>
        <xdr:cNvPr id="2" name="Picture 1">
          <a:extLst>
            <a:ext uri="{FF2B5EF4-FFF2-40B4-BE49-F238E27FC236}">
              <a16:creationId xmlns:a16="http://schemas.microsoft.com/office/drawing/2014/main" id="{E4497DA1-8795-4DE9-9F26-8790FBB74E5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3835"/>
          <a:ext cx="1891362" cy="438165"/>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276224</xdr:colOff>
      <xdr:row>1</xdr:row>
      <xdr:rowOff>108070</xdr:rowOff>
    </xdr:from>
    <xdr:to>
      <xdr:col>3</xdr:col>
      <xdr:colOff>695974</xdr:colOff>
      <xdr:row>1</xdr:row>
      <xdr:rowOff>542925</xdr:rowOff>
    </xdr:to>
    <xdr:pic>
      <xdr:nvPicPr>
        <xdr:cNvPr id="2" name="Picture 1">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4" y="327145"/>
          <a:ext cx="1877075" cy="43485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1</xdr:col>
      <xdr:colOff>0</xdr:colOff>
      <xdr:row>1</xdr:row>
      <xdr:rowOff>108070</xdr:rowOff>
    </xdr:from>
    <xdr:to>
      <xdr:col>3</xdr:col>
      <xdr:colOff>654860</xdr:colOff>
      <xdr:row>1</xdr:row>
      <xdr:rowOff>533400</xdr:rowOff>
    </xdr:to>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276225" y="327145"/>
          <a:ext cx="1835960" cy="425330"/>
        </a:xfrm>
        <a:prstGeom prst="rect">
          <a:avLst/>
        </a:prstGeom>
      </xdr:spPr>
    </xdr:pic>
    <xdr:clientData/>
  </xdr:twoCellAnchor>
</xdr:wsDr>
</file>

<file path=xl/theme/theme1.xml><?xml version="1.0" encoding="utf-8"?>
<a:theme xmlns:a="http://schemas.openxmlformats.org/drawingml/2006/main" name="Office Theme">
  <a:themeElements>
    <a:clrScheme name="Custom 2">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7B"/>
      </a:hlink>
      <a:folHlink>
        <a:srgbClr val="05637B"/>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2.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du.edu/health-and-counseling-center/coveragecosts/fees.html" TargetMode="External"/><Relationship Id="rId1" Type="http://schemas.openxmlformats.org/officeDocument/2006/relationships/hyperlink" Target="https://www.du.edu/health-and-counseling-center/coveragecosts/ship.html" TargetMode="External"/><Relationship Id="rId4"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du.edu/health-and-counseling-center/coveragecosts/ship.html" TargetMode="External"/><Relationship Id="rId1" Type="http://schemas.openxmlformats.org/officeDocument/2006/relationships/hyperlink" Target="https://www.du.edu/health-and-counseling-center/coveragecosts/fees.html" TargetMode="External"/><Relationship Id="rId4"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8"/>
  <sheetViews>
    <sheetView showGridLines="0" showRowColHeaders="0" tabSelected="1" showRuler="0" zoomScaleNormal="100" workbookViewId="0"/>
  </sheetViews>
  <sheetFormatPr defaultColWidth="8.85546875" defaultRowHeight="15" x14ac:dyDescent="0.25"/>
  <cols>
    <col min="1" max="1" width="4.140625" customWidth="1"/>
    <col min="2" max="2" width="74.85546875" customWidth="1"/>
    <col min="3" max="3" width="12.85546875" style="5" customWidth="1"/>
    <col min="4" max="4" width="26.42578125" customWidth="1"/>
  </cols>
  <sheetData>
    <row r="1" spans="1:4" ht="17.25" customHeight="1" x14ac:dyDescent="0.25">
      <c r="A1" s="44"/>
    </row>
    <row r="2" spans="1:4" ht="47.25" customHeight="1" x14ac:dyDescent="0.35">
      <c r="B2" s="64" t="s">
        <v>59</v>
      </c>
      <c r="C2" s="65"/>
      <c r="D2" s="65"/>
    </row>
    <row r="3" spans="1:4" ht="8.25" customHeight="1" x14ac:dyDescent="0.25">
      <c r="B3" s="20"/>
      <c r="C3" s="22"/>
      <c r="D3" s="22"/>
    </row>
    <row r="4" spans="1:4" ht="66.75" customHeight="1" x14ac:dyDescent="0.25">
      <c r="B4" s="66" t="s">
        <v>60</v>
      </c>
      <c r="C4" s="66"/>
      <c r="D4" s="66"/>
    </row>
    <row r="5" spans="1:4" ht="21.75" customHeight="1" x14ac:dyDescent="0.25">
      <c r="C5"/>
    </row>
    <row r="6" spans="1:4" ht="27" customHeight="1" x14ac:dyDescent="0.25">
      <c r="B6" s="42" t="s">
        <v>50</v>
      </c>
      <c r="C6"/>
    </row>
    <row r="7" spans="1:4" x14ac:dyDescent="0.25">
      <c r="B7" s="43" t="s">
        <v>53</v>
      </c>
    </row>
    <row r="8" spans="1:4" x14ac:dyDescent="0.25">
      <c r="B8" s="43" t="s">
        <v>54</v>
      </c>
    </row>
    <row r="9" spans="1:4" x14ac:dyDescent="0.25">
      <c r="B9" s="43" t="s">
        <v>48</v>
      </c>
    </row>
    <row r="10" spans="1:4" x14ac:dyDescent="0.25">
      <c r="B10" s="43" t="s">
        <v>49</v>
      </c>
    </row>
    <row r="11" spans="1:4" x14ac:dyDescent="0.25">
      <c r="B11" s="43"/>
    </row>
    <row r="12" spans="1:4" x14ac:dyDescent="0.25">
      <c r="B12" s="43"/>
    </row>
    <row r="13" spans="1:4" x14ac:dyDescent="0.25">
      <c r="B13" s="43"/>
    </row>
    <row r="14" spans="1:4" x14ac:dyDescent="0.25">
      <c r="B14" s="43"/>
    </row>
    <row r="18" spans="2:4" x14ac:dyDescent="0.25">
      <c r="B18" s="63" t="s">
        <v>57</v>
      </c>
      <c r="C18" s="63"/>
      <c r="D18" s="63"/>
    </row>
  </sheetData>
  <sheetProtection algorithmName="SHA-512" hashValue="iqWO6OQm7h+0BN/NYEr0OuOkeYFm+k576oLKCBXuSdCthDkCd0o6dWyGgD+bd/z6T1DVFenTtceESRIMk9pFjg==" saltValue="+eatVDeIWgH6RAeAJRLm6A==" spinCount="100000" sheet="1" objects="1" scenarios="1" selectLockedCells="1"/>
  <mergeCells count="3">
    <mergeCell ref="B18:D18"/>
    <mergeCell ref="B2:D2"/>
    <mergeCell ref="B4:D4"/>
  </mergeCells>
  <hyperlinks>
    <hyperlink ref="B9" location="'West. CO &amp; 4 Corners'!A1" display="Western Colorado or Four Corners Program" xr:uid="{00000000-0004-0000-0000-000000000000}"/>
    <hyperlink ref="B10" location="'MSW@Denver'!A1" display="MSW@Denver Online Program" xr:uid="{00000000-0004-0000-0000-000001000000}"/>
    <hyperlink ref="B7" location="'On-Campus MSW'!A1" display="On-Campus MSW Program" xr:uid="{00000000-0004-0000-0000-000002000000}"/>
    <hyperlink ref="B8" location="'On-Campus PhD'!A1" display="On-Campus PhD Program" xr:uid="{00000000-0004-0000-0000-000003000000}"/>
  </hyperlinks>
  <pageMargins left="0.5" right="0.5" top="0.5" bottom="0.5" header="0.3" footer="0.3"/>
  <pageSetup scale="80"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61</v>
      </c>
      <c r="I2" s="68"/>
      <c r="J2" s="68"/>
      <c r="K2" s="68"/>
      <c r="L2" s="68"/>
      <c r="M2" s="68"/>
      <c r="N2" s="68"/>
      <c r="O2" s="68"/>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55</v>
      </c>
      <c r="D4" s="47"/>
      <c r="E4" s="47"/>
      <c r="F4" s="47"/>
      <c r="G4" s="47"/>
      <c r="H4" s="47"/>
      <c r="I4" s="47"/>
      <c r="J4" s="47"/>
      <c r="K4" s="47"/>
      <c r="L4" s="47"/>
      <c r="M4" s="47"/>
      <c r="N4" s="47"/>
      <c r="O4" s="47"/>
    </row>
    <row r="5" spans="2:15" ht="19.5" customHeight="1" x14ac:dyDescent="0.25">
      <c r="J5" s="46" t="s">
        <v>63</v>
      </c>
      <c r="L5" s="46" t="s">
        <v>64</v>
      </c>
      <c r="N5" s="46" t="s">
        <v>65</v>
      </c>
    </row>
    <row r="6" spans="2:15" ht="18" customHeight="1" x14ac:dyDescent="0.3">
      <c r="D6" s="60" t="s">
        <v>15</v>
      </c>
      <c r="E6" s="30"/>
      <c r="F6" s="30"/>
      <c r="G6" s="30"/>
      <c r="H6" s="30"/>
      <c r="I6" s="30"/>
      <c r="J6" s="45" t="s">
        <v>62</v>
      </c>
      <c r="L6" s="45" t="s">
        <v>62</v>
      </c>
      <c r="M6" s="23"/>
      <c r="N6" s="45" t="s">
        <v>62</v>
      </c>
      <c r="O6" s="30"/>
    </row>
    <row r="7" spans="2:15" ht="6" customHeight="1" x14ac:dyDescent="0.25"/>
    <row r="8" spans="2:15" ht="15.75" thickBot="1" x14ac:dyDescent="0.3">
      <c r="B8" s="1" t="s">
        <v>7</v>
      </c>
      <c r="C8" s="1"/>
      <c r="D8" s="2"/>
      <c r="E8" s="2"/>
      <c r="F8" s="2"/>
      <c r="G8" s="2"/>
      <c r="H8" s="4" t="s">
        <v>3</v>
      </c>
      <c r="I8" s="3"/>
      <c r="J8" s="4" t="s">
        <v>66</v>
      </c>
      <c r="K8" s="3"/>
      <c r="L8" s="4" t="s">
        <v>67</v>
      </c>
      <c r="M8" s="4"/>
      <c r="N8" s="4" t="s">
        <v>68</v>
      </c>
      <c r="O8" s="2"/>
    </row>
    <row r="9" spans="2:15" ht="9" customHeight="1" x14ac:dyDescent="0.25"/>
    <row r="10" spans="2:15" ht="21.75" customHeight="1" x14ac:dyDescent="0.25">
      <c r="B10" s="10" t="s">
        <v>1</v>
      </c>
      <c r="C10" s="10"/>
      <c r="D10" s="69"/>
      <c r="E10" s="69"/>
      <c r="F10" s="11"/>
      <c r="G10" s="11"/>
      <c r="H10" s="12">
        <f>J10+L10+N10</f>
        <v>0</v>
      </c>
      <c r="I10" s="11"/>
      <c r="J10" s="12">
        <f>VLOOKUP(J6, Data!A2:D22, 2, FALSE)</f>
        <v>0</v>
      </c>
      <c r="K10" s="11"/>
      <c r="L10" s="12">
        <f>VLOOKUP(L6, Data!A2:D22, 2, FALSE)</f>
        <v>0</v>
      </c>
      <c r="M10" s="12"/>
      <c r="N10" s="12">
        <f>VLOOKUP(N6, Data!A2:D22, 2, FALSE)</f>
        <v>0</v>
      </c>
      <c r="O10" s="11"/>
    </row>
    <row r="11" spans="2:15" ht="21.75" customHeight="1" x14ac:dyDescent="0.25">
      <c r="B11" s="36" t="s">
        <v>0</v>
      </c>
      <c r="C11" s="36"/>
    </row>
    <row r="12" spans="2:15" ht="21.75" customHeight="1" x14ac:dyDescent="0.25">
      <c r="B12" s="13" t="s">
        <v>2</v>
      </c>
      <c r="C12" s="13"/>
      <c r="D12" s="11"/>
      <c r="E12" s="11"/>
      <c r="F12" s="11"/>
      <c r="G12" s="11"/>
      <c r="H12" s="12">
        <f>J12+L12+N12</f>
        <v>0</v>
      </c>
      <c r="I12" s="11"/>
      <c r="J12" s="12">
        <f>VLOOKUP(J6, Data!A2:D22, 3, FALSE)</f>
        <v>0</v>
      </c>
      <c r="K12" s="11"/>
      <c r="L12" s="12">
        <f>VLOOKUP(L6, Data!A2:D22, 3, FALSE)</f>
        <v>0</v>
      </c>
      <c r="M12" s="12"/>
      <c r="N12" s="12">
        <f>VLOOKUP(N6, Data!A2:D22, 3, FALSE)</f>
        <v>0</v>
      </c>
      <c r="O12" s="11"/>
    </row>
    <row r="13" spans="2:15" ht="21.75" customHeight="1" x14ac:dyDescent="0.25">
      <c r="B13" s="39" t="s">
        <v>17</v>
      </c>
      <c r="C13" s="39"/>
      <c r="H13" s="5">
        <f>J13+L13+N13</f>
        <v>0</v>
      </c>
      <c r="J13" s="5">
        <f>IF(AND(J6&lt;&gt;"not enrolled", J6&lt;&gt;"select"), 57, 0)</f>
        <v>0</v>
      </c>
      <c r="L13" s="5">
        <f>IF(AND(L6&lt;&gt;"not enrolled",L6&lt;&gt;"select"), 57, 0)</f>
        <v>0</v>
      </c>
      <c r="N13" s="5">
        <f>IF(AND(N6&lt;&gt;"not enrolled", N6&lt;&gt;"select"), 57, 0)</f>
        <v>0</v>
      </c>
    </row>
    <row r="14" spans="2:15" ht="21.75" customHeight="1" x14ac:dyDescent="0.25">
      <c r="B14" s="70" t="s">
        <v>58</v>
      </c>
      <c r="C14" s="70"/>
      <c r="D14" s="70"/>
      <c r="E14" s="71"/>
      <c r="F14" s="32"/>
      <c r="G14" s="11"/>
      <c r="H14" s="31">
        <f>J14+L14+N14</f>
        <v>0</v>
      </c>
      <c r="I14" s="11"/>
      <c r="J14" s="31">
        <f>IF(AND(F14="Yes", J6&lt;&gt;"not enrolled"), (VLOOKUP(F14, Data!A25:C26, 2, FALSE)), 0)</f>
        <v>0</v>
      </c>
      <c r="K14" s="11"/>
      <c r="L14" s="31">
        <v>0</v>
      </c>
      <c r="M14" s="31"/>
      <c r="N14" s="31">
        <f>IF(AND(F14="Yes", N6&lt;&gt;"not enrolled"), (VLOOKUP(F14, Data!A25:C26, 2, FALSE)), 0)</f>
        <v>0</v>
      </c>
      <c r="O14" s="11"/>
    </row>
    <row r="15" spans="2:15" ht="21.75" customHeight="1" x14ac:dyDescent="0.25">
      <c r="B15" s="72" t="s">
        <v>70</v>
      </c>
      <c r="C15" s="72"/>
      <c r="D15" s="72"/>
      <c r="E15" s="72"/>
      <c r="F15" s="62"/>
      <c r="G15" s="6"/>
      <c r="H15" s="33">
        <f>J15+L15+N15</f>
        <v>0</v>
      </c>
      <c r="I15" s="6"/>
      <c r="J15" s="61">
        <f>IF(AND(J6&lt;&gt;"select", J6&lt;&gt;"not enrolled",J6&lt;&gt;"4 credits",J6&lt;&gt;"5 credits",J6&lt;&gt;"6 credits",J6&lt;&gt;"7 credits"), 241, 0)</f>
        <v>0</v>
      </c>
      <c r="K15" s="6"/>
      <c r="L15" s="61">
        <f>IF(AND(L6&lt;&gt;"select", L6&lt;&gt;"not enrolled",L6&lt;&gt;"4 credits",L6&lt;&gt;"5 credits",L6&lt;&gt;"6 credits",L6&lt;&gt;"7 credits"), 241, 0)</f>
        <v>0</v>
      </c>
      <c r="M15" s="33"/>
      <c r="N15" s="61">
        <f>IF(AND(N6&lt;&gt;"select", N6&lt;&gt;"not enrolled",N6&lt;&gt;"4 credits",N6&lt;&gt;"5 credits",N6&lt;&gt;"6 credits",N6&lt;&gt;"7 credits"), 241, 0)</f>
        <v>0</v>
      </c>
      <c r="O15" s="6"/>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66</v>
      </c>
      <c r="K18" s="3"/>
      <c r="L18" s="4" t="s">
        <v>67</v>
      </c>
      <c r="M18" s="4"/>
      <c r="N18" s="4" t="s">
        <v>68</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76</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77</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3" t="s">
        <v>22</v>
      </c>
      <c r="C23" s="73"/>
      <c r="D23" s="73"/>
      <c r="E23" s="73"/>
      <c r="F23" s="73"/>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23</v>
      </c>
      <c r="C24" s="74"/>
      <c r="D24" s="74"/>
      <c r="E24" s="74"/>
      <c r="F24" s="74"/>
      <c r="G24" s="74"/>
      <c r="H24" s="29">
        <f>J24+L24+N24</f>
        <v>0</v>
      </c>
      <c r="I24" s="28"/>
      <c r="J24" s="19"/>
      <c r="K24" s="28"/>
      <c r="L24" s="19"/>
      <c r="M24" s="34"/>
      <c r="N24" s="52"/>
      <c r="O24" s="28"/>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6">
        <f>H16-H25</f>
        <v>0</v>
      </c>
      <c r="I27" s="27"/>
      <c r="J27" s="26">
        <f>J16-J25</f>
        <v>0</v>
      </c>
      <c r="K27" s="27"/>
      <c r="L27" s="26">
        <f>L16-L25</f>
        <v>0</v>
      </c>
      <c r="M27" s="26"/>
      <c r="N27" s="26">
        <f>N16-N25</f>
        <v>0</v>
      </c>
      <c r="O27" s="14"/>
    </row>
    <row r="28" spans="2:15" ht="15.75" thickTop="1" x14ac:dyDescent="0.25"/>
    <row r="29" spans="2:15" x14ac:dyDescent="0.25">
      <c r="B29" s="8" t="s">
        <v>13</v>
      </c>
      <c r="C29" s="8"/>
    </row>
    <row r="30" spans="2:15" ht="21.75" customHeight="1" x14ac:dyDescent="0.25">
      <c r="B30" s="51">
        <v>1</v>
      </c>
      <c r="C30" t="s">
        <v>69</v>
      </c>
      <c r="D30" s="50"/>
      <c r="E30" s="50"/>
      <c r="F30" s="50"/>
      <c r="G30" s="50"/>
      <c r="H30" s="50"/>
      <c r="I30" s="50"/>
      <c r="J30" s="50"/>
      <c r="K30" s="50"/>
      <c r="L30" s="50"/>
      <c r="M30" s="50"/>
      <c r="N30" s="50"/>
      <c r="O30" s="50"/>
    </row>
    <row r="31" spans="2:15" ht="18" customHeight="1" x14ac:dyDescent="0.25">
      <c r="B31" s="49">
        <v>2</v>
      </c>
      <c r="C31" t="s">
        <v>46</v>
      </c>
      <c r="H31"/>
      <c r="J31"/>
      <c r="L31"/>
      <c r="M31"/>
      <c r="N31"/>
    </row>
    <row r="32" spans="2:15" ht="31.5" customHeight="1" x14ac:dyDescent="0.25">
      <c r="B32" s="48">
        <v>3</v>
      </c>
      <c r="C32" s="75" t="s">
        <v>71</v>
      </c>
      <c r="D32" s="75"/>
      <c r="E32" s="75"/>
      <c r="F32" s="75"/>
      <c r="G32" s="75"/>
      <c r="H32" s="75"/>
      <c r="I32" s="75"/>
      <c r="J32" s="75"/>
      <c r="K32" s="75"/>
      <c r="L32" s="75"/>
      <c r="M32" s="75"/>
      <c r="N32" s="75"/>
      <c r="O32" s="75"/>
    </row>
    <row r="33" spans="2:15" ht="31.5" customHeight="1" x14ac:dyDescent="0.25">
      <c r="B33" s="48">
        <v>4</v>
      </c>
      <c r="C33" s="75" t="s">
        <v>72</v>
      </c>
      <c r="D33" s="75"/>
      <c r="E33" s="75"/>
      <c r="F33" s="75"/>
      <c r="G33" s="75"/>
      <c r="H33" s="75"/>
      <c r="I33" s="75"/>
      <c r="J33" s="75"/>
      <c r="K33" s="75"/>
      <c r="L33" s="75"/>
      <c r="M33" s="75"/>
      <c r="N33" s="75"/>
      <c r="O33" s="75"/>
    </row>
    <row r="34" spans="2:15" ht="46.5" customHeight="1" x14ac:dyDescent="0.25">
      <c r="B34" s="48">
        <v>5</v>
      </c>
      <c r="C34" s="75" t="s">
        <v>51</v>
      </c>
      <c r="D34" s="75"/>
      <c r="E34" s="75"/>
      <c r="F34" s="75"/>
      <c r="G34" s="75"/>
      <c r="H34" s="75"/>
      <c r="I34" s="75"/>
      <c r="J34" s="75"/>
      <c r="K34" s="75"/>
      <c r="L34" s="75"/>
      <c r="M34" s="75"/>
      <c r="N34" s="75"/>
      <c r="O34" s="75"/>
    </row>
    <row r="35" spans="2:15" ht="21.75" customHeight="1" x14ac:dyDescent="0.25"/>
    <row r="37" spans="2:15" x14ac:dyDescent="0.25">
      <c r="B37" s="63" t="s">
        <v>57</v>
      </c>
      <c r="C37" s="63"/>
      <c r="D37" s="63"/>
      <c r="E37" s="63"/>
      <c r="F37" s="63"/>
      <c r="G37" s="63"/>
      <c r="H37" s="63"/>
      <c r="I37" s="63"/>
      <c r="J37" s="63"/>
      <c r="K37" s="63"/>
      <c r="L37" s="63"/>
      <c r="M37" s="63"/>
      <c r="N37" s="63"/>
      <c r="O37" s="63"/>
    </row>
  </sheetData>
  <sheetProtection algorithmName="SHA-512" hashValue="KOjmNPTWdTL7+yzCJcb8gCMQ2i7oV7i7fFfBS3qwYiUxbFL16JAw6Udfv4jfHSh1uKOHhK5m9zO1DCUC462mew==" saltValue="xQlOg8Nxjtv1fQAyatUwKA==" spinCount="100000" sheet="1" objects="1" scenarios="1" selectLockedCells="1"/>
  <mergeCells count="10">
    <mergeCell ref="H2:O2"/>
    <mergeCell ref="D10:E10"/>
    <mergeCell ref="B37:O37"/>
    <mergeCell ref="B14:E14"/>
    <mergeCell ref="B15:E15"/>
    <mergeCell ref="B23:F23"/>
    <mergeCell ref="B24:G24"/>
    <mergeCell ref="C34:O34"/>
    <mergeCell ref="C32:O32"/>
    <mergeCell ref="C33:O33"/>
  </mergeCells>
  <hyperlinks>
    <hyperlink ref="B14" r:id="rId1" display="Will you enroll in DU's health insurance plan?" xr:uid="{00000000-0004-0000-0100-000000000000}"/>
    <hyperlink ref="B15" r:id="rId2" display="Will you use DU Health &amp; Counseling Services? " xr:uid="{00000000-0004-0000-0100-000001000000}"/>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00000000-0002-0000-0100-000000000000}">
          <x14:formula1>
            <xm:f>Data!$A$2:$A$22</xm:f>
          </x14:formula1>
          <xm:sqref>N6 J6 L6</xm:sqref>
        </x14:dataValidation>
        <x14:dataValidation type="list" allowBlank="1" showInputMessage="1" showErrorMessage="1" xr:uid="{00000000-0002-0000-0100-000002000000}">
          <x14:formula1>
            <xm:f>Data!$A$25:$A$26</xm:f>
          </x14:formula1>
          <xm:sqref>F14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690A991-3489-41EB-96FF-A139CF6BC988}">
  <sheetPr>
    <pageSetUpPr fitToPage="1"/>
  </sheetPr>
  <dimension ref="B1:O37"/>
  <sheetViews>
    <sheetView showGridLines="0" showRowColHeaders="0" showRuler="0" zoomScaleNormal="100" workbookViewId="0">
      <selection activeCell="J6" sqref="J6"/>
    </sheetView>
  </sheetViews>
  <sheetFormatPr defaultColWidth="8.85546875" defaultRowHeight="15" x14ac:dyDescent="0.25"/>
  <cols>
    <col min="1" max="1" width="4.140625" customWidth="1"/>
    <col min="2" max="2" width="2.140625" customWidth="1"/>
    <col min="5" max="5" width="26.140625" customWidth="1"/>
    <col min="6" max="6" width="11.42578125" bestFit="1" customWidth="1"/>
    <col min="8" max="8" width="14.85546875" style="5" customWidth="1"/>
    <col min="9" max="9" width="4.7109375" customWidth="1"/>
    <col min="10" max="10" width="13.42578125" style="5" customWidth="1"/>
    <col min="11" max="11" width="4.7109375" customWidth="1"/>
    <col min="12" max="12" width="13.42578125" style="5" customWidth="1"/>
    <col min="13" max="13" width="4.7109375" style="5" customWidth="1"/>
    <col min="14" max="14" width="13.42578125" style="5" customWidth="1"/>
    <col min="15" max="15" width="3.42578125" customWidth="1"/>
  </cols>
  <sheetData>
    <row r="1" spans="2:15" ht="17.25" customHeight="1" x14ac:dyDescent="0.25"/>
    <row r="2" spans="2:15" ht="47.25" customHeight="1" x14ac:dyDescent="0.25">
      <c r="H2" s="67" t="s">
        <v>75</v>
      </c>
      <c r="I2" s="68"/>
      <c r="J2" s="68"/>
      <c r="K2" s="68"/>
      <c r="L2" s="68"/>
      <c r="M2" s="68"/>
      <c r="N2" s="68"/>
      <c r="O2" s="68"/>
    </row>
    <row r="3" spans="2:15" ht="8.25" customHeight="1" x14ac:dyDescent="0.25">
      <c r="B3" s="20"/>
      <c r="C3" s="20"/>
      <c r="D3" s="20"/>
      <c r="E3" s="20"/>
      <c r="F3" s="20"/>
      <c r="G3" s="20"/>
      <c r="H3" s="21"/>
      <c r="I3" s="22"/>
      <c r="J3" s="22"/>
      <c r="K3" s="22"/>
      <c r="L3" s="22"/>
      <c r="M3" s="22"/>
      <c r="N3" s="22"/>
      <c r="O3" s="22"/>
    </row>
    <row r="4" spans="2:15" ht="27.75" customHeight="1" x14ac:dyDescent="0.25">
      <c r="B4" s="47"/>
      <c r="C4" s="53" t="s">
        <v>55</v>
      </c>
      <c r="D4" s="47"/>
      <c r="E4" s="47"/>
      <c r="F4" s="47"/>
      <c r="G4" s="47"/>
      <c r="H4" s="47"/>
      <c r="I4" s="47"/>
      <c r="J4" s="47"/>
      <c r="K4" s="47"/>
      <c r="L4" s="47"/>
      <c r="M4" s="47"/>
      <c r="N4" s="47"/>
      <c r="O4" s="47"/>
    </row>
    <row r="5" spans="2:15" ht="19.5" customHeight="1" x14ac:dyDescent="0.25">
      <c r="J5" s="46" t="s">
        <v>63</v>
      </c>
      <c r="L5" s="46" t="s">
        <v>64</v>
      </c>
      <c r="N5" s="46" t="s">
        <v>65</v>
      </c>
    </row>
    <row r="6" spans="2:15" ht="18" customHeight="1" x14ac:dyDescent="0.3">
      <c r="D6" s="60" t="s">
        <v>15</v>
      </c>
      <c r="E6" s="30"/>
      <c r="F6" s="30"/>
      <c r="G6" s="30"/>
      <c r="H6" s="30"/>
      <c r="I6" s="30"/>
      <c r="J6" s="45" t="s">
        <v>62</v>
      </c>
      <c r="L6" s="45" t="s">
        <v>62</v>
      </c>
      <c r="M6" s="23"/>
      <c r="N6" s="45" t="s">
        <v>62</v>
      </c>
      <c r="O6" s="30"/>
    </row>
    <row r="7" spans="2:15" ht="6" customHeight="1" x14ac:dyDescent="0.25"/>
    <row r="8" spans="2:15" ht="15.75" thickBot="1" x14ac:dyDescent="0.3">
      <c r="B8" s="1" t="s">
        <v>7</v>
      </c>
      <c r="C8" s="1"/>
      <c r="D8" s="2"/>
      <c r="E8" s="2"/>
      <c r="F8" s="2"/>
      <c r="G8" s="2"/>
      <c r="H8" s="4" t="s">
        <v>3</v>
      </c>
      <c r="I8" s="3"/>
      <c r="J8" s="4" t="s">
        <v>66</v>
      </c>
      <c r="K8" s="3"/>
      <c r="L8" s="4" t="s">
        <v>67</v>
      </c>
      <c r="M8" s="4"/>
      <c r="N8" s="4" t="s">
        <v>68</v>
      </c>
      <c r="O8" s="2"/>
    </row>
    <row r="9" spans="2:15" ht="9" customHeight="1" x14ac:dyDescent="0.25"/>
    <row r="10" spans="2:15" ht="21.75" customHeight="1" x14ac:dyDescent="0.25">
      <c r="B10" s="10" t="s">
        <v>1</v>
      </c>
      <c r="C10" s="10"/>
      <c r="D10" s="69"/>
      <c r="E10" s="69"/>
      <c r="F10" s="11"/>
      <c r="G10" s="11"/>
      <c r="H10" s="12">
        <f>J10+L10+N10</f>
        <v>0</v>
      </c>
      <c r="I10" s="11"/>
      <c r="J10" s="12">
        <f>VLOOKUP(J6, Data!E2:G22, 2, FALSE)</f>
        <v>0</v>
      </c>
      <c r="K10" s="11"/>
      <c r="L10" s="12">
        <f>VLOOKUP(L6, Data!E2:G22, 2, FALSE)</f>
        <v>0</v>
      </c>
      <c r="M10" s="12"/>
      <c r="N10" s="12">
        <f>VLOOKUP(N6, Data!E2:G22, 2, FALSE)</f>
        <v>0</v>
      </c>
      <c r="O10" s="11"/>
    </row>
    <row r="11" spans="2:15" ht="21.75" customHeight="1" x14ac:dyDescent="0.25">
      <c r="B11" s="36" t="s">
        <v>0</v>
      </c>
      <c r="C11" s="36"/>
    </row>
    <row r="12" spans="2:15" ht="21.75" customHeight="1" x14ac:dyDescent="0.25">
      <c r="B12" s="13" t="s">
        <v>2</v>
      </c>
      <c r="C12" s="13"/>
      <c r="D12" s="11"/>
      <c r="E12" s="11"/>
      <c r="F12" s="11"/>
      <c r="G12" s="11"/>
      <c r="H12" s="12">
        <f>J12+L12+N12</f>
        <v>0</v>
      </c>
      <c r="I12" s="11"/>
      <c r="J12" s="12">
        <f>VLOOKUP(J6, Data!E2:G22, 3, FALSE)</f>
        <v>0</v>
      </c>
      <c r="K12" s="11"/>
      <c r="L12" s="12">
        <f>VLOOKUP(L6, Data!E2:G22, 3, FALSE)</f>
        <v>0</v>
      </c>
      <c r="M12" s="12"/>
      <c r="N12" s="12">
        <f>VLOOKUP(N6, Data!E2:G22, 3, FALSE)</f>
        <v>0</v>
      </c>
      <c r="O12" s="11"/>
    </row>
    <row r="13" spans="2:15" ht="21.75" customHeight="1" x14ac:dyDescent="0.25">
      <c r="B13" s="39" t="s">
        <v>17</v>
      </c>
      <c r="C13" s="39"/>
      <c r="H13" s="5">
        <f>J13+L13+N13</f>
        <v>0</v>
      </c>
      <c r="J13" s="5">
        <f>IF(AND(J6&lt;&gt;"not enrolled", J6&lt;&gt;"select"), 57, 0)</f>
        <v>0</v>
      </c>
      <c r="L13" s="5">
        <f>IF(AND(L6&lt;&gt;"not enrolled",L6&lt;&gt;"select"), 57, 0)</f>
        <v>0</v>
      </c>
      <c r="N13" s="5">
        <f>IF(AND(N6&lt;&gt;"not enrolled", N6&lt;&gt;"select"), 57, 0)</f>
        <v>0</v>
      </c>
    </row>
    <row r="14" spans="2:15" ht="21.75" customHeight="1" x14ac:dyDescent="0.25">
      <c r="B14" s="70" t="s">
        <v>58</v>
      </c>
      <c r="C14" s="70"/>
      <c r="D14" s="70"/>
      <c r="E14" s="71"/>
      <c r="F14" s="32"/>
      <c r="G14" s="11"/>
      <c r="H14" s="31">
        <f>J14+L14+N14</f>
        <v>0</v>
      </c>
      <c r="I14" s="11"/>
      <c r="J14" s="31">
        <f>IF(AND(F14="Yes", J6&lt;&gt;"not enrolled"), (VLOOKUP(F14, Data!A25:C26, 2, FALSE)), 0)</f>
        <v>0</v>
      </c>
      <c r="K14" s="11"/>
      <c r="L14" s="31">
        <v>0</v>
      </c>
      <c r="M14" s="31"/>
      <c r="N14" s="31">
        <f>IF(AND(F14="Yes", N6&lt;&gt;"not enrolled"), (VLOOKUP(F14, Data!A25:C26, 2, FALSE)), 0)</f>
        <v>0</v>
      </c>
      <c r="O14" s="11"/>
    </row>
    <row r="15" spans="2:15" ht="21.75" customHeight="1" x14ac:dyDescent="0.25">
      <c r="B15" s="72" t="s">
        <v>70</v>
      </c>
      <c r="C15" s="72"/>
      <c r="D15" s="72"/>
      <c r="E15" s="72"/>
      <c r="F15" s="62"/>
      <c r="G15" s="6"/>
      <c r="H15" s="33">
        <f>J15+L15+N15</f>
        <v>0</v>
      </c>
      <c r="I15" s="6"/>
      <c r="J15" s="61">
        <f>IF(AND(J6&lt;&gt;"select", J6&lt;&gt;"not enrolled",J6&lt;&gt;"4 credits",J6&lt;&gt;"5 credits",J6&lt;&gt;"6 credits",J6&lt;&gt;"7 credits"), 241, 0)</f>
        <v>0</v>
      </c>
      <c r="K15" s="6"/>
      <c r="L15" s="61">
        <f>IF(AND(L6&lt;&gt;"select", L6&lt;&gt;"not enrolled",L6&lt;&gt;"4 credits",L6&lt;&gt;"5 credits",L6&lt;&gt;"6 credits",L6&lt;&gt;"7 credits"), 241, 0)</f>
        <v>0</v>
      </c>
      <c r="M15" s="33"/>
      <c r="N15" s="61">
        <f>IF(AND(N6&lt;&gt;"select", N6&lt;&gt;"not enrolled",N6&lt;&gt;"4 credits",N6&lt;&gt;"5 credits",N6&lt;&gt;"6 credits",N6&lt;&gt;"7 credits"), 241, 0)</f>
        <v>0</v>
      </c>
      <c r="O15" s="6"/>
    </row>
    <row r="16" spans="2:15" ht="21.75" customHeight="1" x14ac:dyDescent="0.25">
      <c r="D16" s="8" t="s">
        <v>6</v>
      </c>
      <c r="H16" s="9">
        <f>SUM(H10, H12:H15)</f>
        <v>0</v>
      </c>
      <c r="J16" s="9">
        <f>SUM(J10,J12:J15)</f>
        <v>0</v>
      </c>
      <c r="L16" s="9">
        <f>SUM(L10,L12:L15)</f>
        <v>0</v>
      </c>
      <c r="M16" s="9"/>
      <c r="N16" s="9">
        <f>SUM(N10,N12:N15)</f>
        <v>0</v>
      </c>
    </row>
    <row r="17" spans="2:15" ht="24" customHeight="1" x14ac:dyDescent="0.25"/>
    <row r="18" spans="2:15" ht="15.75" thickBot="1" x14ac:dyDescent="0.3">
      <c r="B18" s="1" t="s">
        <v>11</v>
      </c>
      <c r="C18" s="1"/>
      <c r="D18" s="2"/>
      <c r="E18" s="2"/>
      <c r="F18" s="2"/>
      <c r="G18" s="2"/>
      <c r="H18" s="4" t="s">
        <v>3</v>
      </c>
      <c r="I18" s="3"/>
      <c r="J18" s="4" t="s">
        <v>66</v>
      </c>
      <c r="K18" s="3"/>
      <c r="L18" s="4" t="s">
        <v>67</v>
      </c>
      <c r="M18" s="4"/>
      <c r="N18" s="4" t="s">
        <v>68</v>
      </c>
      <c r="O18" s="2"/>
    </row>
    <row r="19" spans="2:15" ht="21.75" customHeight="1" x14ac:dyDescent="0.25">
      <c r="B19" t="s">
        <v>16</v>
      </c>
      <c r="H19" s="16"/>
      <c r="J19" s="5">
        <f>IF((AND(J6&lt;&gt;"not enrolled", L6&lt;&gt;"not enrolled", N6&lt;&gt;"not enrolled")), (H19/3), IF((AND(J6&lt;&gt;"not enrolled", L6&lt;&gt;"not enrolled", N6="not enrolled")), (H19/2), IF((AND(J6&lt;&gt;"not enrolled", L6="not enrolled", N6="not enrolled")), (H19/1), 0)))</f>
        <v>0</v>
      </c>
      <c r="L19" s="5">
        <f>IF((AND(J6&lt;&gt;"not enrolled", L6&lt;&gt;"not enrolled", N6&lt;&gt;"not enrolled")), (H19/3), IF((AND(J6&lt;&gt;"not enrolled", L6&lt;&gt;"not enrolled", N6="not enrolled")), (H19/2), IF((AND(J6="not enrolled", L6&lt;&gt;"not enrolled", N6&lt;&gt;"not enrolled")), (H19/2), 0)))</f>
        <v>0</v>
      </c>
      <c r="N19" s="5">
        <f>IF((AND(J6&lt;&gt;"not enrolled", L6&lt;&gt;"not enrolled", N6&lt;&gt;"not enrolled")), (H19/3), IF((AND(J6="not enrolled", L6&lt;&gt;"not enrolled", N6&lt;&gt;"not enrolled")), (H19/2), IF((AND(J6="not enrolled", L6="not enrolled", N6&lt;&gt;"not enrolled")), (H19), 0)))</f>
        <v>0</v>
      </c>
    </row>
    <row r="20" spans="2:15" ht="21.75" customHeight="1" x14ac:dyDescent="0.25">
      <c r="B20" s="11" t="s">
        <v>8</v>
      </c>
      <c r="C20" s="11"/>
      <c r="D20" s="11"/>
      <c r="E20" s="11"/>
      <c r="F20" s="11"/>
      <c r="G20" s="11"/>
      <c r="H20" s="17"/>
      <c r="I20" s="11"/>
      <c r="J20" s="12">
        <f>IF((AND(J6&lt;&gt;"not enrolled", L6&lt;&gt;"not enrolled", N6&lt;&gt;"not enrolled")), (H20/3), IF((AND(J6&lt;&gt;"not enrolled", L6&lt;&gt;"not enrolled", N6="not enrolled")), (H20/2), IF((AND(J6&lt;&gt;"not enrolled", L6="not enrolled", N6="not enrolled")), (H20/1), 0)))</f>
        <v>0</v>
      </c>
      <c r="K20" s="11"/>
      <c r="L20" s="12">
        <f>IF((AND(J6&lt;&gt;"not enrolled", L6&lt;&gt;"not enrolled", N6&lt;&gt;"not enrolled")), (H20/3), IF((AND(J6&lt;&gt;"not enrolled", L6&lt;&gt;"not enrolled", N6="not enrolled")), (H20/2), IF((AND(J6="not enrolled", L6&lt;&gt;"not enrolled", N6&lt;&gt;"not enrolled")), (H20/2), 0)))</f>
        <v>0</v>
      </c>
      <c r="M20" s="12"/>
      <c r="N20" s="12">
        <f>IF((AND(J6&lt;&gt;"not enrolled", L6&lt;&gt;"not enrolled", N6&lt;&gt;"not enrolled")), (H20/3), IF((AND(J6="not enrolled", L6&lt;&gt;"not enrolled", N6&lt;&gt;"not enrolled")), (H20/2), IF((AND(J6="not enrolled", L6="not enrolled", N6&lt;&gt;"not enrolled")), (H20), 0)))</f>
        <v>0</v>
      </c>
      <c r="O20" s="11"/>
    </row>
    <row r="21" spans="2:15" ht="21.75" customHeight="1" x14ac:dyDescent="0.25">
      <c r="B21" t="s">
        <v>76</v>
      </c>
      <c r="F21" s="18"/>
      <c r="H21" s="5">
        <f>SUM(J21,L21,N21)</f>
        <v>0</v>
      </c>
      <c r="J21" s="5">
        <f>IF((AND(J6&lt;&gt;"not enrolled", L6&lt;&gt;"not enrolled", N6&lt;&gt;"not enrolled")), ROUND(((F21-(F21*0.01057))/3),0), IF((AND(J6&lt;&gt;"not enrolled", L6&lt;&gt;"not enrolled", N6="not enrolled")), ROUND(((F21-(F21*0.01057))/2),0), IF((AND(J6&lt;&gt;"not enrolled", L6="not enrolled", N6="not enrolled")), ROUND(((F21-(F21*0.01057))/1),0), 0)))</f>
        <v>0</v>
      </c>
      <c r="L21" s="5">
        <f>IF((AND(J6&lt;&gt;"not enrolled", L6&lt;&gt;"not enrolled", N6&lt;&gt;"not enrolled")), ROUND(((F21-(F21*0.01057))/3),0), IF((AND(J6&lt;&gt;"not enrolled", L6&lt;&gt;"not enrolled", N6="not enrolled")), ROUND(((F21-(F21*0.01057))/2),0), IF((AND(J6="not enrolled", L6&lt;&gt;"not enrolled", N6&lt;&gt;"not enrolled")), ROUND(((F21-(F21*0.01057))/2),0), 0)))</f>
        <v>0</v>
      </c>
      <c r="N21" s="5">
        <f>IF((AND(J6&lt;&gt;"not enrolled", L6&lt;&gt;"not enrolled", N6&lt;&gt;"not enrolled")), ROUND(((F21-(F21*0.01057))/3),0), IF((AND(J6="not enrolled", L6&lt;&gt;"not enrolled", N6&lt;&gt;"not enrolled")), ROUND(((F21-(F21*0.01057))/2),0), IF((AND(J6="not enrolled", L6="not enrolled", N6&lt;&gt;"not enrolled")), ROUND(((F21-(F21*0.01057))/1),0), 0)))</f>
        <v>0</v>
      </c>
    </row>
    <row r="22" spans="2:15" ht="21.75" customHeight="1" x14ac:dyDescent="0.25">
      <c r="B22" s="11" t="s">
        <v>77</v>
      </c>
      <c r="C22" s="11"/>
      <c r="D22" s="11"/>
      <c r="E22" s="11"/>
      <c r="F22" s="18"/>
      <c r="G22" s="11"/>
      <c r="H22" s="12">
        <f>SUM(J22,L22,N22)</f>
        <v>0</v>
      </c>
      <c r="I22" s="11"/>
      <c r="J22" s="12">
        <f>IF((AND(J6&lt;&gt;"not enrolled", L6&lt;&gt;"not enrolled", N6&lt;&gt;"not enrolled")), ROUND(((F22-(F22*0.04228))/3),0), IF((AND(J6&lt;&gt;"not enrolled", L6&lt;&gt;"not enrolled", N6="not enrolled")), ROUND(((F22-(F22*0.04228))/2),0), IF((AND(J6&lt;&gt;"not enrolled", L6="not enrolled", N6="not enrolled")), ROUND(((F22-(F22*0.04228))/1),0), 0)))</f>
        <v>0</v>
      </c>
      <c r="K22" s="11"/>
      <c r="L22" s="12">
        <f>IF((AND(J6&lt;&gt;"not enrolled", L6&lt;&gt;"not enrolled", N6&lt;&gt;"not enrolled")), ROUND(((F22-(F22*0.04228))/3),0), IF((AND(J6&lt;&gt;"not enrolled", L6&lt;&gt;"not enrolled", N6="not enrolled")), ROUND(((F22-(F22*0.04228))/2),0), IF((AND(J6="not enrolled", L6&lt;&gt;"not enrolled", N6&lt;&gt;"not enrolled")), ROUND(((F22-(F22*0.04228))/2),0), 0)))</f>
        <v>0</v>
      </c>
      <c r="M22" s="12"/>
      <c r="N22" s="12">
        <f>IF((AND(J6&lt;&gt;"not enrolled", L6&lt;&gt;"not enrolled", N6&lt;&gt;"not enrolled")), ROUND(((F22-(F22*0.04228))/3),0), IF((AND(J6="not enrolled", L6&lt;&gt;"not enrolled", N6&lt;&gt;"not enrolled")), ROUND(((F22-(F22*0.04228))/2),0), IF((AND(J6="not enrolled", L6="not enrolled", N6&lt;&gt;"not enrolled")), ROUND(((F22-(F22*0.04228))/1),0), 0)))</f>
        <v>0</v>
      </c>
      <c r="O22" s="11"/>
    </row>
    <row r="23" spans="2:15" ht="21.75" customHeight="1" x14ac:dyDescent="0.25">
      <c r="B23" s="73" t="s">
        <v>22</v>
      </c>
      <c r="C23" s="73"/>
      <c r="D23" s="73"/>
      <c r="E23" s="73"/>
      <c r="F23" s="73"/>
      <c r="H23" s="17"/>
      <c r="J23" s="5">
        <f>IF((AND(J6&lt;&gt;"not enrolled", L6&lt;&gt;"not enrolled", N6&lt;&gt;"not enrolled")), (H23/3), IF((AND(J6&lt;&gt;"not enrolled", L6&lt;&gt;"not enrolled", N6="not enrolled")), (H23/2), IF((AND(J6&lt;&gt;"not enrolled", L6="not enrolled", N6="not enrolled")), (H23/1), 0)))</f>
        <v>0</v>
      </c>
      <c r="L23" s="5">
        <f>IF((AND(J6&lt;&gt;"not enrolled", L6&lt;&gt;"not enrolled", N6&lt;&gt;"not enrolled")), (H23/3), IF((AND(J6&lt;&gt;"not enrolled", L6&lt;&gt;"not enrolled", N6="not enrolled")), (H23/2), IF((AND(J6="not enrolled", L6&lt;&gt;"not enrolled", N6&lt;&gt;"not enrolled")), (H23/2), 0)))</f>
        <v>0</v>
      </c>
      <c r="N23" s="5">
        <f>IF((AND(J6&lt;&gt;"not enrolled", L6&lt;&gt;"not enrolled", N6&lt;&gt;"not enrolled")), (H23/3), IF((AND(J6="not enrolled", L6&lt;&gt;"not enrolled", N6&lt;&gt;"not enrolled")), (H23/2), IF((AND(J6="not enrolled", L6="not enrolled", N6&lt;&gt;"not enrolled")), (H23), 0)))</f>
        <v>0</v>
      </c>
    </row>
    <row r="24" spans="2:15" ht="21.75" customHeight="1" x14ac:dyDescent="0.25">
      <c r="B24" s="74" t="s">
        <v>23</v>
      </c>
      <c r="C24" s="74"/>
      <c r="D24" s="74"/>
      <c r="E24" s="74"/>
      <c r="F24" s="74"/>
      <c r="G24" s="74"/>
      <c r="H24" s="29">
        <f>J24+L24+N24</f>
        <v>0</v>
      </c>
      <c r="I24" s="28"/>
      <c r="J24" s="19"/>
      <c r="K24" s="28"/>
      <c r="L24" s="19"/>
      <c r="M24" s="34"/>
      <c r="N24" s="52"/>
      <c r="O24" s="28"/>
    </row>
    <row r="25" spans="2:15" ht="21.75" customHeight="1" x14ac:dyDescent="0.25">
      <c r="D25" s="8" t="s">
        <v>10</v>
      </c>
      <c r="H25" s="5">
        <f>SUM(H19:H24)</f>
        <v>0</v>
      </c>
      <c r="J25" s="5">
        <f>SUM(J19:J24)</f>
        <v>0</v>
      </c>
      <c r="L25" s="5">
        <f>SUM(L19:L23,L24)</f>
        <v>0</v>
      </c>
      <c r="N25" s="5">
        <f>SUM(N19:N23,N24)</f>
        <v>0</v>
      </c>
    </row>
    <row r="26" spans="2:15" ht="15.75" thickBot="1" x14ac:dyDescent="0.3"/>
    <row r="27" spans="2:15" ht="21.75" customHeight="1" thickTop="1" thickBot="1" x14ac:dyDescent="0.35">
      <c r="B27" s="15" t="s">
        <v>12</v>
      </c>
      <c r="C27" s="15"/>
      <c r="D27" s="14"/>
      <c r="E27" s="14"/>
      <c r="F27" s="14"/>
      <c r="G27" s="14"/>
      <c r="H27" s="26">
        <f>H16-H25</f>
        <v>0</v>
      </c>
      <c r="I27" s="27"/>
      <c r="J27" s="26">
        <f>J16-J25</f>
        <v>0</v>
      </c>
      <c r="K27" s="27"/>
      <c r="L27" s="26">
        <f>L16-L25</f>
        <v>0</v>
      </c>
      <c r="M27" s="26"/>
      <c r="N27" s="26">
        <f>N16-N25</f>
        <v>0</v>
      </c>
      <c r="O27" s="14"/>
    </row>
    <row r="28" spans="2:15" ht="15.75" thickTop="1" x14ac:dyDescent="0.25"/>
    <row r="29" spans="2:15" x14ac:dyDescent="0.25">
      <c r="B29" s="8" t="s">
        <v>13</v>
      </c>
      <c r="C29" s="8"/>
    </row>
    <row r="30" spans="2:15" ht="21.75" customHeight="1" x14ac:dyDescent="0.25">
      <c r="B30" s="51">
        <v>1</v>
      </c>
      <c r="C30" t="s">
        <v>78</v>
      </c>
      <c r="D30" s="50"/>
      <c r="E30" s="50"/>
      <c r="F30" s="50"/>
      <c r="G30" s="50"/>
      <c r="H30" s="50"/>
      <c r="I30" s="50"/>
      <c r="J30" s="50"/>
      <c r="K30" s="50"/>
      <c r="L30" s="50"/>
      <c r="M30" s="50"/>
      <c r="N30" s="50"/>
      <c r="O30" s="50"/>
    </row>
    <row r="31" spans="2:15" ht="18" customHeight="1" x14ac:dyDescent="0.25">
      <c r="B31" s="49">
        <v>2</v>
      </c>
      <c r="C31" t="s">
        <v>46</v>
      </c>
      <c r="H31"/>
      <c r="J31"/>
      <c r="L31"/>
      <c r="M31"/>
      <c r="N31"/>
    </row>
    <row r="32" spans="2:15" ht="31.5" customHeight="1" x14ac:dyDescent="0.25">
      <c r="B32" s="48">
        <v>3</v>
      </c>
      <c r="C32" s="75" t="s">
        <v>71</v>
      </c>
      <c r="D32" s="75"/>
      <c r="E32" s="75"/>
      <c r="F32" s="75"/>
      <c r="G32" s="75"/>
      <c r="H32" s="75"/>
      <c r="I32" s="75"/>
      <c r="J32" s="75"/>
      <c r="K32" s="75"/>
      <c r="L32" s="75"/>
      <c r="M32" s="75"/>
      <c r="N32" s="75"/>
      <c r="O32" s="75"/>
    </row>
    <row r="33" spans="2:15" ht="31.5" customHeight="1" x14ac:dyDescent="0.25">
      <c r="B33" s="48">
        <v>4</v>
      </c>
      <c r="C33" s="75" t="s">
        <v>72</v>
      </c>
      <c r="D33" s="75"/>
      <c r="E33" s="75"/>
      <c r="F33" s="75"/>
      <c r="G33" s="75"/>
      <c r="H33" s="75"/>
      <c r="I33" s="75"/>
      <c r="J33" s="75"/>
      <c r="K33" s="75"/>
      <c r="L33" s="75"/>
      <c r="M33" s="75"/>
      <c r="N33" s="75"/>
      <c r="O33" s="75"/>
    </row>
    <row r="34" spans="2:15" ht="46.5" customHeight="1" x14ac:dyDescent="0.25">
      <c r="B34" s="48">
        <v>5</v>
      </c>
      <c r="C34" s="75" t="s">
        <v>51</v>
      </c>
      <c r="D34" s="75"/>
      <c r="E34" s="75"/>
      <c r="F34" s="75"/>
      <c r="G34" s="75"/>
      <c r="H34" s="75"/>
      <c r="I34" s="75"/>
      <c r="J34" s="75"/>
      <c r="K34" s="75"/>
      <c r="L34" s="75"/>
      <c r="M34" s="75"/>
      <c r="N34" s="75"/>
      <c r="O34" s="75"/>
    </row>
    <row r="35" spans="2:15" ht="21.75" customHeight="1" x14ac:dyDescent="0.25"/>
    <row r="37" spans="2:15" x14ac:dyDescent="0.25">
      <c r="B37" s="63" t="s">
        <v>57</v>
      </c>
      <c r="C37" s="63"/>
      <c r="D37" s="63"/>
      <c r="E37" s="63"/>
      <c r="F37" s="63"/>
      <c r="G37" s="63"/>
      <c r="H37" s="63"/>
      <c r="I37" s="63"/>
      <c r="J37" s="63"/>
      <c r="K37" s="63"/>
      <c r="L37" s="63"/>
      <c r="M37" s="63"/>
      <c r="N37" s="63"/>
      <c r="O37" s="63"/>
    </row>
  </sheetData>
  <sheetProtection algorithmName="SHA-512" hashValue="M6bRbXFwn64c8xqQnj0g0bi4Zy5RLUrKkysl9RQn40uscN9besV/XWoIOBuCKztWr2o+fgpysOO3YS0wKCODew==" saltValue="Hnm+U4EkUZchUfyt/V7zYg==" spinCount="100000" sheet="1" objects="1" scenarios="1" selectLockedCells="1"/>
  <mergeCells count="10">
    <mergeCell ref="C32:O32"/>
    <mergeCell ref="C33:O33"/>
    <mergeCell ref="C34:O34"/>
    <mergeCell ref="B37:O37"/>
    <mergeCell ref="H2:O2"/>
    <mergeCell ref="D10:E10"/>
    <mergeCell ref="B14:E14"/>
    <mergeCell ref="B15:E15"/>
    <mergeCell ref="B23:F23"/>
    <mergeCell ref="B24:G24"/>
  </mergeCells>
  <hyperlinks>
    <hyperlink ref="B14" r:id="rId1" display="Will you enroll in DU's health insurance plan?" xr:uid="{2030EFB4-2028-4005-BF51-C5F46BE6A093}"/>
    <hyperlink ref="B15" r:id="rId2" display="Will you use DU Health &amp; Counseling Services? " xr:uid="{55C69692-A45A-4045-A4F9-B6219084CB6D}"/>
  </hyperlinks>
  <pageMargins left="0.5" right="0.5" top="0.5" bottom="0.5" header="0.3" footer="0.3"/>
  <pageSetup scale="73" orientation="portrait" r:id="rId3"/>
  <drawing r:id="rId4"/>
  <extLst>
    <ext xmlns:x14="http://schemas.microsoft.com/office/spreadsheetml/2009/9/main" uri="{CCE6A557-97BC-4b89-ADB6-D9C93CAAB3DF}">
      <x14:dataValidations xmlns:xm="http://schemas.microsoft.com/office/excel/2006/main" count="2">
        <x14:dataValidation type="list" allowBlank="1" showInputMessage="1" showErrorMessage="1" xr:uid="{E5D84435-870D-4492-AF7B-654D732C6268}">
          <x14:formula1>
            <xm:f>Data!$A$25:$A$26</xm:f>
          </x14:formula1>
          <xm:sqref>F14</xm:sqref>
        </x14:dataValidation>
        <x14:dataValidation type="list" allowBlank="1" showInputMessage="1" showErrorMessage="1" xr:uid="{E8B0308C-BFB3-4A3A-A4E8-52C65AF5EE89}">
          <x14:formula1>
            <xm:f>Data!$A$2:$A$22</xm:f>
          </x14:formula1>
          <xm:sqref>N6 J6 L6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26.7109375" customWidth="1"/>
    <col min="5" max="5" width="11.42578125" customWidth="1"/>
    <col min="7" max="7" width="13.140625" style="5" customWidth="1"/>
    <col min="8" max="8" width="4.7109375" customWidth="1"/>
    <col min="9" max="9" width="13.7109375" style="5" customWidth="1"/>
    <col min="10" max="10" width="4.7109375" customWidth="1"/>
    <col min="11" max="11" width="13.7109375" style="5" customWidth="1"/>
    <col min="12" max="12" width="4.7109375" style="5" customWidth="1"/>
    <col min="13" max="13" width="13.7109375" style="5" customWidth="1"/>
    <col min="14" max="14" width="3.42578125" customWidth="1"/>
  </cols>
  <sheetData>
    <row r="1" spans="2:15" ht="17.25" customHeight="1" x14ac:dyDescent="0.25"/>
    <row r="2" spans="2:15" ht="47.25" customHeight="1" x14ac:dyDescent="0.25">
      <c r="G2" s="67" t="s">
        <v>79</v>
      </c>
      <c r="H2" s="68"/>
      <c r="I2" s="68"/>
      <c r="J2" s="68"/>
      <c r="K2" s="68"/>
      <c r="L2" s="68"/>
      <c r="M2" s="68"/>
      <c r="N2" s="68"/>
    </row>
    <row r="3" spans="2:15" ht="8.25" customHeight="1" x14ac:dyDescent="0.25">
      <c r="B3" s="20"/>
      <c r="C3" s="20"/>
      <c r="D3" s="20"/>
      <c r="E3" s="20"/>
      <c r="F3" s="20"/>
      <c r="G3" s="21"/>
      <c r="H3" s="22"/>
      <c r="I3" s="22"/>
      <c r="J3" s="22"/>
      <c r="K3" s="22"/>
      <c r="L3" s="22"/>
      <c r="M3" s="22"/>
      <c r="N3" s="22"/>
    </row>
    <row r="4" spans="2:15" ht="9.75" customHeight="1" x14ac:dyDescent="0.25"/>
    <row r="5" spans="2:15" ht="17.25" customHeight="1" x14ac:dyDescent="0.25">
      <c r="I5" s="58" t="s">
        <v>63</v>
      </c>
      <c r="K5" s="58" t="s">
        <v>64</v>
      </c>
      <c r="M5" s="58" t="s">
        <v>65</v>
      </c>
      <c r="N5" s="5"/>
      <c r="O5" s="5"/>
    </row>
    <row r="6" spans="2:15" ht="18" customHeight="1" x14ac:dyDescent="0.3">
      <c r="C6" s="60" t="s">
        <v>15</v>
      </c>
      <c r="D6" s="30"/>
      <c r="E6" s="30"/>
      <c r="F6" s="30"/>
      <c r="G6" s="30"/>
      <c r="H6" s="30"/>
      <c r="I6" s="54"/>
      <c r="K6" s="54"/>
      <c r="L6" s="23"/>
      <c r="M6" s="54"/>
      <c r="N6" s="30"/>
    </row>
    <row r="7" spans="2:15" ht="15" customHeight="1" x14ac:dyDescent="0.25"/>
    <row r="8" spans="2:15" ht="15.75" thickBot="1" x14ac:dyDescent="0.3">
      <c r="B8" s="1" t="s">
        <v>7</v>
      </c>
      <c r="C8" s="2"/>
      <c r="D8" s="2"/>
      <c r="E8" s="2"/>
      <c r="F8" s="2"/>
      <c r="G8" s="4" t="s">
        <v>3</v>
      </c>
      <c r="H8" s="3"/>
      <c r="I8" s="4" t="s">
        <v>66</v>
      </c>
      <c r="J8" s="3"/>
      <c r="K8" s="4" t="s">
        <v>67</v>
      </c>
      <c r="L8" s="4"/>
      <c r="M8" s="4" t="s">
        <v>68</v>
      </c>
      <c r="N8" s="2"/>
    </row>
    <row r="9" spans="2:15" ht="9" customHeight="1" x14ac:dyDescent="0.25"/>
    <row r="10" spans="2:15" ht="21.75" customHeight="1" x14ac:dyDescent="0.25">
      <c r="B10" s="10" t="s">
        <v>1</v>
      </c>
      <c r="C10" s="69"/>
      <c r="D10" s="69"/>
      <c r="E10" s="11"/>
      <c r="F10" s="11"/>
      <c r="G10" s="12" t="e">
        <f>I10+K10+M10</f>
        <v>#N/A</v>
      </c>
      <c r="H10" s="11"/>
      <c r="I10" s="12" t="e">
        <f>VLOOKUP(I6,Data!E25:F42,2,FALSE)</f>
        <v>#N/A</v>
      </c>
      <c r="J10" s="11"/>
      <c r="K10" s="12" t="e">
        <f>VLOOKUP(K6,Data!E25:F42,2,FALSE)</f>
        <v>#N/A</v>
      </c>
      <c r="L10" s="12"/>
      <c r="M10" s="12" t="e">
        <f>VLOOKUP(M6,Data!E25:F42,2,FALSE)</f>
        <v>#N/A</v>
      </c>
      <c r="N10" s="11"/>
    </row>
    <row r="11" spans="2:15" ht="21.75" customHeight="1" x14ac:dyDescent="0.25">
      <c r="B11" s="59" t="s">
        <v>2</v>
      </c>
      <c r="C11" s="6"/>
      <c r="D11" s="6"/>
      <c r="E11" s="6"/>
      <c r="F11" s="6"/>
      <c r="G11" s="33" t="e">
        <f>I11+K11+M11</f>
        <v>#N/A</v>
      </c>
      <c r="H11" s="6"/>
      <c r="I11" s="33" t="e">
        <f>VLOOKUP(I6, Data!E25:G42, 3, FALSE)</f>
        <v>#N/A</v>
      </c>
      <c r="J11" s="6"/>
      <c r="K11" s="33" t="e">
        <f>VLOOKUP(K6, Data!E25:G42, 3, FALSE)</f>
        <v>#N/A</v>
      </c>
      <c r="L11" s="33"/>
      <c r="M11" s="33" t="e">
        <f>VLOOKUP(M6, Data!E25:G42, 3, FALSE)</f>
        <v>#N/A</v>
      </c>
      <c r="N11" s="6"/>
    </row>
    <row r="12" spans="2:15" ht="21.75" customHeight="1" x14ac:dyDescent="0.25">
      <c r="C12" s="8" t="s">
        <v>6</v>
      </c>
      <c r="G12" s="9" t="e">
        <f>SUM(G10, G11:G11)</f>
        <v>#N/A</v>
      </c>
      <c r="I12" s="9" t="e">
        <f>SUM(I10,I11:I11)</f>
        <v>#N/A</v>
      </c>
      <c r="K12" s="9" t="e">
        <f>SUM(K10,K11:K11)</f>
        <v>#N/A</v>
      </c>
      <c r="L12" s="9"/>
      <c r="M12" s="9" t="e">
        <f>SUM(M10,M11:M11)</f>
        <v>#N/A</v>
      </c>
    </row>
    <row r="13" spans="2:15" ht="24" customHeight="1" x14ac:dyDescent="0.25"/>
    <row r="14" spans="2:15" ht="15.75" thickBot="1" x14ac:dyDescent="0.3">
      <c r="B14" s="1" t="s">
        <v>11</v>
      </c>
      <c r="C14" s="2"/>
      <c r="D14" s="2"/>
      <c r="E14" s="2"/>
      <c r="F14" s="2"/>
      <c r="G14" s="4" t="s">
        <v>3</v>
      </c>
      <c r="H14" s="3"/>
      <c r="I14" s="4" t="s">
        <v>66</v>
      </c>
      <c r="J14" s="3"/>
      <c r="K14" s="4" t="s">
        <v>67</v>
      </c>
      <c r="L14" s="4"/>
      <c r="M14" s="4" t="s">
        <v>68</v>
      </c>
      <c r="N14" s="2"/>
    </row>
    <row r="15" spans="2:15" ht="21.75" customHeight="1" x14ac:dyDescent="0.25">
      <c r="B15" t="s">
        <v>16</v>
      </c>
      <c r="G15" s="16"/>
      <c r="I15" s="5">
        <f>IF((AND(I6&lt;&gt;"not enrolled", K6&lt;&gt;"not enrolled", M6&lt;&gt;"not enrolled")), (G15/3), IF((AND(I6&lt;&gt;"not enrolled", K6&lt;&gt;"not enrolled", M6="not enrolled")), (G15/2), IF((AND(I6&lt;&gt;"not enrolled", K6="not enrolled", M6="not enrolled")), (G15/1), 0)))</f>
        <v>0</v>
      </c>
      <c r="K15" s="5">
        <f>IF((AND(I6&lt;&gt;"not enrolled", K6&lt;&gt;"not enrolled", M6&lt;&gt;"not enrolled")), (G15/3), IF((AND(I6&lt;&gt;"not enrolled", K6&lt;&gt;"not enrolled", M6="not enrolled")), (G15/2), IF((AND(I6="not enrolled", K6&lt;&gt;"not enrolled", M6&lt;&gt;"not enrolled")), (G15/2), 0)))</f>
        <v>0</v>
      </c>
      <c r="M15" s="5">
        <f>IF((AND(I6&lt;&gt;"not enrolled", K6&lt;&gt;"not enrolled", M6&lt;&gt;"not enrolled")), (G15/3), IF((AND(I6="not enrolled", K6&lt;&gt;"not enrolled", M6&lt;&gt;"not enrolled")), (G15/2), IF((AND(I6="not enrolled", K6="not enrolled", M6&lt;&gt;"not enrolled")), (G15),0)))</f>
        <v>0</v>
      </c>
    </row>
    <row r="16" spans="2:15" ht="21.75" customHeight="1" x14ac:dyDescent="0.25">
      <c r="B16" s="11" t="s">
        <v>8</v>
      </c>
      <c r="C16" s="11"/>
      <c r="D16" s="11"/>
      <c r="E16" s="11"/>
      <c r="F16" s="11"/>
      <c r="G16" s="17"/>
      <c r="H16" s="11"/>
      <c r="I16" s="12">
        <f>IF((AND(I6&lt;&gt;"not enrolled", K6&lt;&gt;"not enrolled", M6&lt;&gt;"not enrolled")), (G16/3), IF((AND(I6&lt;&gt;"not enrolled", K6&lt;&gt;"not enrolled", M6="not enrolled")), (G16/2), IF((AND(I6&lt;&gt;"not enrolled", K6="not enrolled", M6="not enrolled")), (G16/1), 0)))</f>
        <v>0</v>
      </c>
      <c r="J16" s="11"/>
      <c r="K16" s="12">
        <f>IF((AND(I6&lt;&gt;"not enrolled",K6&lt;&gt;"not enrolled",M6&lt;&gt;"not enrolled")),(G16/3),IF((AND(I6&lt;&gt;"not enrolled",K6&lt;&gt;"not enrolled",M6="not enrolled")),(G16/2),IF((AND(I6="not enrolled",K6&lt;&gt;"not enrolled",M6&lt;&gt;"not enrolled")),(G16/2),0)))</f>
        <v>0</v>
      </c>
      <c r="L16" s="12"/>
      <c r="M16" s="12">
        <f>IF((AND(I6&lt;&gt;"not enrolled",K6&lt;&gt;"not enrolled",M6&lt;&gt;"not enrolled")),(G16/3),IF((AND(I6="not enrolled",K6&lt;&gt;"not enrolled",M6&lt;&gt;"not enrolled")),(G16/2),IF((AND(I6="not enrolled",K6="not enrolled",M6&lt;&gt;"not enrolled")),(G16),0)))</f>
        <v>0</v>
      </c>
      <c r="N16" s="11"/>
    </row>
    <row r="17" spans="2:14" ht="21.75" customHeight="1" x14ac:dyDescent="0.25">
      <c r="B17" t="s">
        <v>19</v>
      </c>
      <c r="E17" s="18"/>
      <c r="G17" s="5">
        <f>SUM(I17,K17,M17)</f>
        <v>0</v>
      </c>
      <c r="I17" s="5">
        <f>IF((AND(I6&lt;&gt;"not enrolled", K6&lt;&gt;"not enrolled", M6&lt;&gt;"not enrolled")), ROUND(((E17-(E17*0.01057))/3),0), IF((AND(I6&lt;&gt;"not enrolled",K6&lt;&gt;"not enrolled", M6="not enrolled")), ROUND(((E17-(E17*0.01057))/2),0), IF((AND(I6&lt;&gt;"not enrolled", K6="not enrolled", M6="not enrolled")), ROUND(((E17-(E17*0.01057))/1),0), 0)))</f>
        <v>0</v>
      </c>
      <c r="K17" s="5">
        <f>IF((AND(I6&lt;&gt;"not enrolled", K6&lt;&gt;"not enrolled", M6&lt;&gt;"not enrolled")), ROUND(((E17-(E17*0.01057))/3),0), IF((AND(I6&lt;&gt;"not enrolled", K6&lt;&gt;"not enrolled", M6="not enrolled")), ROUND(((E17-(E17*0.01057))/2),0), IF((AND(I6="not enrolled",K6&lt;&gt;"not enrolled", M6&lt;&gt;"not enrolled")), ROUND(((E17-(E17*0.01057))/2),0), 0)))</f>
        <v>0</v>
      </c>
      <c r="M17" s="5">
        <f>IF((AND(I6&lt;&gt;"not enrolled", K6&lt;&gt;"not enrolled", M6&lt;&gt;"not enrolled")), ROUND(((E17-(E17*0.01057))/3),0), IF((AND(I6="not enrolled", K6&lt;&gt;"not enrolled", M6&lt;&gt;"not enrolled")), ROUND(((E17-(E17*0.01057))/2),0), IF((AND(I6="not enrolled", K6="not enrolled", M6&lt;&gt;"not enrolled")), ROUND(((E17-(E17*0.01057))/1),0), 0)))</f>
        <v>0</v>
      </c>
    </row>
    <row r="18" spans="2:14" ht="21.75" customHeight="1" x14ac:dyDescent="0.25">
      <c r="B18" s="11" t="s">
        <v>20</v>
      </c>
      <c r="C18" s="11"/>
      <c r="D18" s="11"/>
      <c r="E18" s="18"/>
      <c r="F18" s="11"/>
      <c r="G18" s="12">
        <f>SUM(I18,K18,M18)</f>
        <v>0</v>
      </c>
      <c r="H18" s="11"/>
      <c r="I18" s="12">
        <f>IF((AND(I6&lt;&gt;"not enrolled", K6&lt;&gt;"not enrolled", M6&lt;&gt;"not enrolled")), ROUND(((E18-(E18*0.04228))/3),0), IF((AND(I6&lt;&gt;"not enrolled",K6&lt;&gt;"not enrolled", M6="not enrolled")), ROUND(((E18-(E18*0.04228))/2),0), IF((AND(I6&lt;&gt;"not enrolled", K6="not enrolled", M6="not enrolled")), ROUND(((E18-(E18*0.04228))/1),0), 0)))</f>
        <v>0</v>
      </c>
      <c r="J18" s="11"/>
      <c r="K18" s="12">
        <f>IF((AND(I6&lt;&gt;"not enrolled", K6&lt;&gt;"not enrolled", M6&lt;&gt;"not enrolled")), ROUND(((E18-(E18*0.04228))/3),0), IF((AND(I6&lt;&gt;"not enrolled", K6&lt;&gt;"not enrolled", M6="not enrolled")), ROUND(((E18-(E18*0.04228))/2),0), IF((AND(I6="not enrolled",K6&lt;&gt;"not enrolled", M6&lt;&gt;"not enrolled")), ROUND(((E18-(E18*0.04228))/2),0), 0)))</f>
        <v>0</v>
      </c>
      <c r="L18" s="12"/>
      <c r="M18" s="12">
        <f>IF((AND(I6&lt;&gt;"not enrolled", K6&lt;&gt;"not enrolled", M6&lt;&gt;"not enrolled")), ROUND(((E18-(E18*0.04228))/3),0), IF((AND(I6="not enrolled", K6&lt;&gt;"not enrolled", M6&lt;&gt;"not enrolled")), ROUND(((E18-(E18*0.04228))/2),0), IF((AND(I6="not enrolled", K6="not enrolled", M6&lt;&gt;"not enrolled")), ROUND(((E18-(E18*0.04228))/1),0), 0)))</f>
        <v>0</v>
      </c>
      <c r="N18" s="11"/>
    </row>
    <row r="19" spans="2:14" ht="21.75" customHeight="1" x14ac:dyDescent="0.25">
      <c r="B19" t="s">
        <v>9</v>
      </c>
      <c r="G19" s="17"/>
      <c r="I19" s="5">
        <f>IF((AND(I6&lt;&gt;"not enrolled", K6&lt;&gt;"not enrolled", M6&lt;&gt;"not enrolled")), (G19/3), IF((AND(I6&lt;&gt;"not enrolled", K6&lt;&gt;"not enrolled", M6="not enrolled")), (G19/2), IF((AND(I6&lt;&gt;"not enrolled", K6="not enrolled", M6="not enrolled")), (G19/1), 0)))</f>
        <v>0</v>
      </c>
      <c r="K19" s="5">
        <f>IF((AND(I6&lt;&gt;"not enrolled", K6&lt;&gt;"not enrolled", M6&lt;&gt;"not enrolled")), (G19/3), IF((AND(I6&lt;&gt;"not enrolled", K6&lt;&gt;"not enrolled", M6="not enrolled")), (G19/2), IF((AND(I6="not enrolled", K6&lt;&gt;"not enrolled", M6&lt;&gt;"not enrolled")), (G19/2), 0)))</f>
        <v>0</v>
      </c>
      <c r="M19" s="5">
        <f>IF((AND(I6&lt;&gt;"not enrolled",K6&lt;&gt;"not enrolled",M6&lt;&gt;"not enrolled")),(G19/3),IF((AND(I6="not enrolled",K6&lt;&gt;"not enrolled",M6&lt;&gt;"not enrolled")),(G19/2),IF((AND(I6="not enrolled",K6="not enrolled",M6&lt;&gt;"not enrolled")),(G19),0)))</f>
        <v>0</v>
      </c>
    </row>
    <row r="20" spans="2:14" ht="21.75" customHeight="1" x14ac:dyDescent="0.25">
      <c r="B20" s="76" t="s">
        <v>23</v>
      </c>
      <c r="C20" s="76"/>
      <c r="D20" s="76"/>
      <c r="E20" s="76"/>
      <c r="F20" s="76"/>
      <c r="G20" s="7"/>
      <c r="H20" s="6"/>
      <c r="I20" s="19"/>
      <c r="J20" s="6"/>
      <c r="K20" s="19"/>
      <c r="L20" s="24"/>
      <c r="M20" s="25"/>
      <c r="N20" s="6"/>
    </row>
    <row r="21" spans="2:14" ht="21.75" customHeight="1" x14ac:dyDescent="0.25">
      <c r="C21" s="8" t="s">
        <v>10</v>
      </c>
      <c r="G21" s="5">
        <f>SUM(G15:G20)</f>
        <v>0</v>
      </c>
      <c r="I21" s="5">
        <f>SUM(I15:I20)</f>
        <v>0</v>
      </c>
      <c r="K21" s="5">
        <f>SUM(K15:K19,K20)</f>
        <v>0</v>
      </c>
      <c r="M21" s="5">
        <f>SUM(M15:M19,M20)</f>
        <v>0</v>
      </c>
    </row>
    <row r="22" spans="2:14" ht="15.75" thickBot="1" x14ac:dyDescent="0.3"/>
    <row r="23" spans="2:14" ht="21.75" customHeight="1" thickTop="1" thickBot="1" x14ac:dyDescent="0.35">
      <c r="B23" s="15" t="s">
        <v>12</v>
      </c>
      <c r="C23" s="14"/>
      <c r="D23" s="14"/>
      <c r="E23" s="14"/>
      <c r="F23" s="14"/>
      <c r="G23" s="26" t="e">
        <f>G12-G21</f>
        <v>#N/A</v>
      </c>
      <c r="H23" s="27"/>
      <c r="I23" s="26" t="e">
        <f>I12-I21</f>
        <v>#N/A</v>
      </c>
      <c r="J23" s="27"/>
      <c r="K23" s="26" t="e">
        <f>K12-K21</f>
        <v>#N/A</v>
      </c>
      <c r="L23" s="26"/>
      <c r="M23" s="26" t="e">
        <f>M12-M21</f>
        <v>#N/A</v>
      </c>
      <c r="N23" s="14"/>
    </row>
    <row r="24" spans="2:14" ht="15.75" thickTop="1" x14ac:dyDescent="0.25"/>
    <row r="25" spans="2:14" x14ac:dyDescent="0.25">
      <c r="B25" s="8" t="s">
        <v>13</v>
      </c>
    </row>
    <row r="26" spans="2:14" ht="21.75" customHeight="1" x14ac:dyDescent="0.25">
      <c r="B26" s="75" t="s">
        <v>82</v>
      </c>
      <c r="C26" s="75"/>
      <c r="D26" s="75"/>
      <c r="E26" s="75"/>
      <c r="F26" s="75"/>
      <c r="G26" s="75"/>
      <c r="H26" s="75"/>
      <c r="I26" s="75"/>
      <c r="J26" s="75"/>
      <c r="K26" s="75"/>
      <c r="L26" s="75"/>
      <c r="M26" s="75"/>
      <c r="N26" s="75"/>
    </row>
    <row r="27" spans="2:14" ht="21.75" customHeight="1" x14ac:dyDescent="0.25">
      <c r="B27" s="73" t="s">
        <v>18</v>
      </c>
      <c r="C27" s="73"/>
      <c r="D27" s="73"/>
      <c r="E27" s="73"/>
      <c r="F27" s="73"/>
      <c r="G27" s="73"/>
      <c r="H27" s="73"/>
      <c r="I27" s="73"/>
      <c r="J27" s="73"/>
      <c r="K27" s="73"/>
      <c r="L27" s="73"/>
      <c r="M27" s="73"/>
      <c r="N27" s="73"/>
    </row>
    <row r="28" spans="2:14" ht="38.25" customHeight="1" x14ac:dyDescent="0.25">
      <c r="B28" s="75" t="s">
        <v>81</v>
      </c>
      <c r="C28" s="75"/>
      <c r="D28" s="75"/>
      <c r="E28" s="75"/>
      <c r="F28" s="75"/>
      <c r="G28" s="75"/>
      <c r="H28" s="75"/>
      <c r="I28" s="75"/>
      <c r="J28" s="75"/>
      <c r="K28" s="75"/>
      <c r="L28" s="75"/>
      <c r="M28" s="75"/>
      <c r="N28" s="75"/>
    </row>
    <row r="29" spans="2:14" ht="51" customHeight="1" x14ac:dyDescent="0.25">
      <c r="B29" s="75" t="s">
        <v>52</v>
      </c>
      <c r="C29" s="75"/>
      <c r="D29" s="75"/>
      <c r="E29" s="75"/>
      <c r="F29" s="75"/>
      <c r="G29" s="75"/>
      <c r="H29" s="75"/>
      <c r="I29" s="75"/>
      <c r="J29" s="75"/>
      <c r="K29" s="75"/>
      <c r="L29" s="75"/>
      <c r="M29" s="75"/>
      <c r="N29" s="75"/>
    </row>
    <row r="30" spans="2:14" ht="21.75" customHeight="1" x14ac:dyDescent="0.25"/>
    <row r="32" spans="2:14" x14ac:dyDescent="0.25">
      <c r="B32" s="63" t="s">
        <v>57</v>
      </c>
      <c r="C32" s="63"/>
      <c r="D32" s="63"/>
      <c r="E32" s="63"/>
      <c r="F32" s="63"/>
      <c r="G32" s="63"/>
      <c r="H32" s="63"/>
      <c r="I32" s="63"/>
      <c r="J32" s="63"/>
      <c r="K32" s="63"/>
      <c r="L32" s="63"/>
      <c r="M32" s="63"/>
      <c r="N32" s="63"/>
    </row>
  </sheetData>
  <sheetProtection algorithmName="SHA-512" hashValue="oOJhQC3aJHl4cq0SJQzQuAIdGxlLNx+uSVR7fXLCt+5NyorLNJVduR0zre36g7XiAngGskVLMXrDVIGDOuQ5KA==" saltValue="ZGIqECO0Y+sAXUBmh3Thbw==" spinCount="100000" sheet="1" objects="1" scenarios="1" selectLockedCells="1"/>
  <mergeCells count="8">
    <mergeCell ref="B29:N29"/>
    <mergeCell ref="B32:N32"/>
    <mergeCell ref="G2:N2"/>
    <mergeCell ref="C10:D10"/>
    <mergeCell ref="B20:F20"/>
    <mergeCell ref="B26:N26"/>
    <mergeCell ref="B27:N27"/>
    <mergeCell ref="B28:N28"/>
  </mergeCells>
  <hyperlinks>
    <hyperlink ref="B13" r:id="rId1" display="Will you use DU Health &amp; Counseling Services? " xr:uid="{00000000-0004-0000-0300-000000000000}"/>
    <hyperlink ref="B12" r:id="rId2" display="Will you enroll in DU's health insurance plan?" xr:uid="{00000000-0004-0000-0300-000001000000}"/>
  </hyperlinks>
  <pageMargins left="0.5" right="0.5" top="0.5" bottom="0.5" header="0.3" footer="0.3"/>
  <pageSetup scale="72" orientation="portrait" r:id="rId3"/>
  <drawing r:id="rId4"/>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300-000000000000}">
          <x14:formula1>
            <xm:f>Data!$E$25:$E$42</xm:f>
          </x14:formula1>
          <xm:sqref>I6 M6 K6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B1:O32"/>
  <sheetViews>
    <sheetView showGridLines="0" showRowColHeaders="0" showRuler="0" zoomScaleNormal="100" workbookViewId="0">
      <selection activeCell="I6" sqref="I6"/>
    </sheetView>
  </sheetViews>
  <sheetFormatPr defaultColWidth="8.85546875" defaultRowHeight="15" x14ac:dyDescent="0.25"/>
  <cols>
    <col min="1" max="1" width="4.140625" customWidth="1"/>
    <col min="4" max="4" width="14" customWidth="1"/>
    <col min="5" max="5" width="13.85546875" customWidth="1"/>
    <col min="6" max="6" width="4.28515625" customWidth="1"/>
    <col min="7" max="7" width="15" style="5" customWidth="1"/>
    <col min="8" max="8" width="2.85546875" customWidth="1"/>
    <col min="9" max="9" width="15" style="5" customWidth="1"/>
    <col min="10" max="10" width="2.85546875" customWidth="1"/>
    <col min="11" max="11" width="15" style="5" customWidth="1"/>
    <col min="12" max="12" width="2.85546875" style="5" customWidth="1"/>
    <col min="13" max="13" width="15" style="5" customWidth="1"/>
    <col min="14" max="14" width="2.85546875" style="5" customWidth="1"/>
    <col min="15" max="15" width="15" style="5" customWidth="1"/>
  </cols>
  <sheetData>
    <row r="1" spans="2:15" ht="17.25" customHeight="1" x14ac:dyDescent="0.25"/>
    <row r="2" spans="2:15" ht="47.25" customHeight="1" x14ac:dyDescent="0.35">
      <c r="G2" s="64" t="s">
        <v>83</v>
      </c>
      <c r="H2" s="64"/>
      <c r="I2" s="64"/>
      <c r="J2" s="64"/>
      <c r="K2" s="64"/>
      <c r="L2" s="64"/>
      <c r="M2" s="64"/>
      <c r="N2" s="64"/>
      <c r="O2" s="64"/>
    </row>
    <row r="3" spans="2:15" ht="8.25" customHeight="1" x14ac:dyDescent="0.25">
      <c r="B3" s="20"/>
      <c r="C3" s="20"/>
      <c r="D3" s="20"/>
      <c r="E3" s="20"/>
      <c r="F3" s="20"/>
      <c r="G3" s="21"/>
      <c r="H3" s="22"/>
      <c r="I3" s="22"/>
      <c r="J3" s="22"/>
      <c r="K3" s="22"/>
      <c r="L3" s="22"/>
      <c r="M3" s="22"/>
      <c r="N3" s="22"/>
      <c r="O3" s="22"/>
    </row>
    <row r="4" spans="2:15" ht="9.75" customHeight="1" x14ac:dyDescent="0.25"/>
    <row r="5" spans="2:15" ht="15" customHeight="1" x14ac:dyDescent="0.25">
      <c r="I5" s="58" t="s">
        <v>63</v>
      </c>
      <c r="K5" s="58" t="s">
        <v>64</v>
      </c>
      <c r="L5" s="35"/>
      <c r="M5" s="58" t="s">
        <v>65</v>
      </c>
      <c r="N5" s="35"/>
      <c r="O5" s="58" t="s">
        <v>84</v>
      </c>
    </row>
    <row r="6" spans="2:15" ht="18" customHeight="1" x14ac:dyDescent="0.3">
      <c r="C6" s="60" t="s">
        <v>42</v>
      </c>
      <c r="E6" s="30"/>
      <c r="F6" s="30"/>
      <c r="G6" s="30"/>
      <c r="H6" s="30"/>
      <c r="I6" s="55"/>
      <c r="K6" s="56"/>
      <c r="L6"/>
      <c r="M6" s="57"/>
      <c r="N6"/>
      <c r="O6" s="57"/>
    </row>
    <row r="7" spans="2:15" ht="18.75" customHeight="1" x14ac:dyDescent="0.25"/>
    <row r="8" spans="2:15" ht="15.75" thickBot="1" x14ac:dyDescent="0.3">
      <c r="B8" s="1" t="s">
        <v>7</v>
      </c>
      <c r="C8" s="2"/>
      <c r="D8" s="2"/>
      <c r="E8" s="2"/>
      <c r="F8" s="2"/>
      <c r="G8" s="4" t="s">
        <v>3</v>
      </c>
      <c r="H8" s="3"/>
      <c r="I8" s="4" t="s">
        <v>66</v>
      </c>
      <c r="J8" s="3"/>
      <c r="K8" s="4" t="s">
        <v>67</v>
      </c>
      <c r="L8" s="4"/>
      <c r="M8" s="4" t="s">
        <v>68</v>
      </c>
      <c r="N8" s="4"/>
      <c r="O8" s="4" t="s">
        <v>85</v>
      </c>
    </row>
    <row r="9" spans="2:15" ht="9" customHeight="1" x14ac:dyDescent="0.25"/>
    <row r="10" spans="2:15" ht="21.75" customHeight="1" x14ac:dyDescent="0.25">
      <c r="B10" s="10" t="s">
        <v>1</v>
      </c>
      <c r="C10" s="69"/>
      <c r="D10" s="69"/>
      <c r="E10" s="11"/>
      <c r="F10" s="11"/>
      <c r="G10" s="12" t="e">
        <f>I10+K10+M10+O10</f>
        <v>#N/A</v>
      </c>
      <c r="H10" s="11"/>
      <c r="I10" s="12" t="e">
        <f>VLOOKUP(I6, Data!J25:L42, 2, FALSE)</f>
        <v>#N/A</v>
      </c>
      <c r="J10" s="11"/>
      <c r="K10" s="12" t="e">
        <f>VLOOKUP(K6, Data!J25:L42, 2, FALSE)</f>
        <v>#N/A</v>
      </c>
      <c r="L10" s="12"/>
      <c r="M10" s="12" t="e">
        <f>VLOOKUP(M6, Data!J25:L42, 2, FALSE)</f>
        <v>#N/A</v>
      </c>
      <c r="N10" s="12"/>
      <c r="O10" s="12" t="e">
        <f>VLOOKUP(O6, Data!J25:L42, 2, FALSE)</f>
        <v>#N/A</v>
      </c>
    </row>
    <row r="11" spans="2:15" ht="21.75" customHeight="1" x14ac:dyDescent="0.25">
      <c r="B11" s="36" t="s">
        <v>2</v>
      </c>
      <c r="G11" s="37" t="e">
        <f>I11+K11+M11+O11</f>
        <v>#N/A</v>
      </c>
      <c r="I11" s="37" t="e">
        <f>VLOOKUP(I6, Data!J25:L42, 3, FALSE)</f>
        <v>#N/A</v>
      </c>
      <c r="K11" s="37" t="e">
        <f>VLOOKUP(K6, Data!J25:L42, 3, FALSE)</f>
        <v>#N/A</v>
      </c>
      <c r="L11" s="37"/>
      <c r="M11" s="37" t="e">
        <f>VLOOKUP(M6, Data!J25:L42, 3, FALSE)</f>
        <v>#N/A</v>
      </c>
      <c r="N11" s="37"/>
      <c r="O11" s="37" t="e">
        <f>VLOOKUP(O6, Data!J25:L42, 3, FALSE)</f>
        <v>#N/A</v>
      </c>
    </row>
    <row r="12" spans="2:15" ht="21.75" customHeight="1" x14ac:dyDescent="0.25">
      <c r="B12" s="20"/>
      <c r="C12" s="40" t="s">
        <v>6</v>
      </c>
      <c r="D12" s="20"/>
      <c r="E12" s="20"/>
      <c r="F12" s="20"/>
      <c r="G12" s="41" t="e">
        <f>SUM(G10:G11)</f>
        <v>#N/A</v>
      </c>
      <c r="H12" s="20"/>
      <c r="I12" s="41" t="e">
        <f>SUM(I10:I11)</f>
        <v>#N/A</v>
      </c>
      <c r="J12" s="20"/>
      <c r="K12" s="41" t="e">
        <f>SUM(K10:K11)</f>
        <v>#N/A</v>
      </c>
      <c r="L12" s="41"/>
      <c r="M12" s="41" t="e">
        <f>SUM(M10:M11)</f>
        <v>#N/A</v>
      </c>
      <c r="N12" s="41"/>
      <c r="O12" s="41" t="e">
        <f>SUM(O10:O11)</f>
        <v>#N/A</v>
      </c>
    </row>
    <row r="13" spans="2:15" ht="24" customHeight="1" x14ac:dyDescent="0.25"/>
    <row r="14" spans="2:15" ht="15.75" thickBot="1" x14ac:dyDescent="0.3">
      <c r="B14" s="1" t="s">
        <v>11</v>
      </c>
      <c r="C14" s="2"/>
      <c r="D14" s="2"/>
      <c r="E14" s="2"/>
      <c r="F14" s="2"/>
      <c r="G14" s="4" t="s">
        <v>3</v>
      </c>
      <c r="H14" s="3"/>
      <c r="I14" s="4" t="s">
        <v>66</v>
      </c>
      <c r="J14" s="3"/>
      <c r="K14" s="4" t="s">
        <v>67</v>
      </c>
      <c r="L14" s="4"/>
      <c r="M14" s="4" t="s">
        <v>68</v>
      </c>
      <c r="N14" s="4"/>
      <c r="O14" s="4" t="s">
        <v>85</v>
      </c>
    </row>
    <row r="15" spans="2:15" ht="21.75" customHeight="1" x14ac:dyDescent="0.25">
      <c r="B15" t="s">
        <v>16</v>
      </c>
      <c r="G15" s="16"/>
      <c r="I15" s="5">
        <f>IF((AND(I6&lt;&gt;"not enrolled",K6&lt;&gt;"not enrolled",M6&lt;&gt;"not enrolled",O6&lt;&gt;"not enrolled")),(G15/4), IF((AND(I6&lt;&gt;"not enrolled",K6&lt;&gt;"not enrolled",M6&lt;&gt;"not enrolled",O6="not enrolled")),(G15/3), IF((AND(I6&lt;&gt;"not enrolled",K6&lt;&gt;"not enrolled",M6="not enrolled",O6="not enrolled")),(G15/2), IF((AND(I6&lt;&gt;"not enrolled",K6="not enrolled",M6="not enrolled",O6="not enrolled")),(G15/1), 0))))</f>
        <v>0</v>
      </c>
      <c r="K15" s="5">
        <f>IF((AND(I6&lt;&gt;"not enrolled",K6&lt;&gt;"not enrolled",M6&lt;&gt;"not enrolled",O6&lt;&gt;"not enrolled")),(G15/4), IF((AND(I6&lt;&gt;"not enrolled",K6&lt;&gt;"not enrolled",M6&lt;&gt;"not enrolled",O6="not enrolled")),(G15/3), IF((AND(I6="not enrolled",K6&lt;&gt;"not enrolled",M6&lt;&gt;"not enrolled",O6&lt;&gt;"not enrolled")),(G15/3), IF((AND(I6&lt;&gt;"not enrolled",K6&lt;&gt;"not enrolled",M6="not enrolled",O6="not enrolled")),(G15/2), 0))))</f>
        <v>0</v>
      </c>
      <c r="M15" s="5">
        <f>IF((AND(I6&lt;&gt;"not enrolled",K6&lt;&gt;"not enrolled",M6&lt;&gt;"not enrolled",O6&lt;&gt;"not enrolled")),(G15/4), IF((AND(I6&lt;&gt;"not enrolled",K6&lt;&gt;"not enrolled",M6&lt;&gt;"not enrolled",O6="not enrolled")),(G15/3), IF((AND(I6="not enrolled",K6&lt;&gt;"not enrolled",M6&lt;&gt;"not enrolled",O6&lt;&gt;"not enrolled")),(G15/3), IF((AND(I6="not enrolled",K6="not enrolled",M6&lt;&gt;"not enrolled",O6&lt;&gt;"not enrolled")),(G15/2), 0))))</f>
        <v>0</v>
      </c>
      <c r="O15" s="5">
        <f>IF((AND(I6&lt;&gt;"not enrolled",K6&lt;&gt;"not enrolled",M6&lt;&gt;"not enrolled",O6&lt;&gt;"not enrolled")),(G15/4), IF((AND(I6="not enrolled",K6&lt;&gt;"not enrolled",M6&lt;&gt;"not enrolled",O6&lt;&gt;"not enrolled")),(G15/3), IF((AND(I6="not enrolled",K6="not enrolled",M6&lt;&gt;"not enrolled",O6&lt;&gt;"not enrolled")),(G15/2),  IF((AND(I6="not enrolled",K6="not enrolled",M6="not enrolled",O6&lt;&gt;"not enrolled")),(G15), 0))))</f>
        <v>0</v>
      </c>
    </row>
    <row r="16" spans="2:15" ht="21.75" customHeight="1" x14ac:dyDescent="0.25">
      <c r="B16" s="11" t="s">
        <v>8</v>
      </c>
      <c r="C16" s="11"/>
      <c r="D16" s="11"/>
      <c r="E16" s="11"/>
      <c r="F16" s="11"/>
      <c r="G16" s="17"/>
      <c r="H16" s="11"/>
      <c r="I16" s="12">
        <f>IF((AND(I6&lt;&gt;"not enrolled",K6&lt;&gt;"not enrolled",M6&lt;&gt;"not enrolled",O6&lt;&gt;"not enrolled")),(G16/4), IF((AND(I6&lt;&gt;"not enrolled",K6&lt;&gt;"not enrolled",M6&lt;&gt;"not enrolled",O6="not enrolled")),(G16/3), IF((AND(I6&lt;&gt;"not enrolled",K6&lt;&gt;"not enrolled",M6="not enrolled",O6="not enrolled")),(G16/2), IF((AND(I6&lt;&gt;"not enrolled",K6="not enrolled",M6="not enrolled",O6="not enrolled")),(G16/1), 0))))</f>
        <v>0</v>
      </c>
      <c r="J16" s="11"/>
      <c r="K16" s="12">
        <f>IF((AND(I6&lt;&gt;"not enrolled",K6&lt;&gt;"not enrolled",M6&lt;&gt;"not enrolled",O6&lt;&gt;"not enrolled")),(G16/4), IF((AND(I6&lt;&gt;"not enrolled",K6&lt;&gt;"not enrolled",M6&lt;&gt;"not enrolled",O6="not enrolled")),(G16/3), IF((AND(I6="not enrolled",K6&lt;&gt;"not enrolled",M6&lt;&gt;"not enrolled",O6&lt;&gt;"not enrolled")),(G16/3), IF((AND(I6&lt;&gt;"not enrolled",K6&lt;&gt;"not enrolled",M6="not enrolled",O6="not enrolled")),(G16/2), 0))))</f>
        <v>0</v>
      </c>
      <c r="L16" s="12"/>
      <c r="M16" s="12">
        <f>IF((AND(I6&lt;&gt;"not enrolled",K6&lt;&gt;"not enrolled",M6&lt;&gt;"not enrolled",O6&lt;&gt;"not enrolled")),(G16/4), IF((AND(I6&lt;&gt;"not enrolled",K6&lt;&gt;"not enrolled",M6&lt;&gt;"not enrolled",O6="not enrolled")),(G16/3), IF((AND(I6="not enrolled",K6&lt;&gt;"not enrolled",M6&lt;&gt;"not enrolled",O6&lt;&gt;"not enrolled")),(G16/3), IF((AND(I6="not enrolled",K6="not enrolled",M6&lt;&gt;"not enrolled",O6&lt;&gt;"not enrolled")),(G16/2), 0))))</f>
        <v>0</v>
      </c>
      <c r="N16" s="12"/>
      <c r="O16" s="12">
        <f>IF((AND(I6&lt;&gt;"not enrolled",K6&lt;&gt;"not enrolled",M6&lt;&gt;"not enrolled",O6&lt;&gt;"not enrolled")),(G16/4), IF((AND(I6="not enrolled",K6&lt;&gt;"not enrolled",M6&lt;&gt;"not enrolled",O6&lt;&gt;"not enrolled")),(G16/3), IF((AND(I6="not enrolled",K6="not enrolled",M6&lt;&gt;"not enrolled",O6&lt;&gt;"not enrolled")),(G16/2),  IF((AND(I6="not enrolled",K6="not enrolled",M6="not enrolled",O6&lt;&gt;"not enrolled")),(G16), 0))))</f>
        <v>0</v>
      </c>
    </row>
    <row r="17" spans="2:15" ht="21.75" customHeight="1" x14ac:dyDescent="0.25">
      <c r="B17" t="s">
        <v>19</v>
      </c>
      <c r="E17" s="18"/>
      <c r="G17" s="5">
        <f>SUM(I17,K17,M17,O17)</f>
        <v>0</v>
      </c>
      <c r="I17" s="5">
        <f>IF((AND(I6&lt;&gt;"not enrolled",K6&lt;&gt;"not enrolled",M6&lt;&gt;"not enrolled",O6&lt;&gt;"not enrolled")),ROUND(((E17-(E17*0.01057))/4),0), IF((AND(I6&lt;&gt;"not enrolled",K6&lt;&gt;"not enrolled",M6&lt;&gt;"not enrolled",O6="not enrolled")),ROUND(((E17-(E17*0.01057))/3),0), IF((AND(I6&lt;&gt;"not enrolled",K6&lt;&gt;"not enrolled",M6="not enrolled",O6="not enrolled")),ROUND(((E17-(E17*0.01057))/2),0), IF((AND(I6&lt;&gt;"not enrolled",K6="not enrolled",M6="not enrolled",O6="not enrolled")),ROUND(((E17-(E17*0.01057))/1),0), 0))))</f>
        <v>0</v>
      </c>
      <c r="K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IF((AND(I6&lt;&gt;"not enrolled",K6&lt;&gt;"not enrolled",M6="not enrolled",O6="not enrolled")),ROUND(((E17-(E17*0.01057))/2),0), 0))))</f>
        <v>0</v>
      </c>
      <c r="M17" s="5">
        <f>IF((AND(I6&lt;&gt;"not enrolled",K6&lt;&gt;"not enrolled",M6&lt;&gt;"not enrolled",O6&lt;&gt;"not enrolled")),ROUND(((E17-(E17*0.01057))/4),0), IF((AND(I6&lt;&gt;"not enrolled",K6&lt;&gt;"not enrolled",M6&lt;&gt;"not enrolled",O6="not enrolled")),ROUND(((E17-(E17*0.01057))/3),0), IF((AND(I6="not enrolled",K6&lt;&gt;"not enrolled",M6&lt;&gt;"not enrolled",O6&lt;&gt;"not enrolled")),ROUND(((E17-(E17*0.01057))/3),0), IF((AND(I6="not enrolled",K6="not enrolled",M6&lt;&gt;"not enrolled",O6&lt;&gt;"not enrolled")),ROUND(((E17-(E17*0.01057))/2),0), 0))))</f>
        <v>0</v>
      </c>
      <c r="O17" s="5">
        <f>IF((AND(I6&lt;&gt;"not enrolled",K6&lt;&gt;"not enrolled",M6&lt;&gt;"not enrolled",O6&lt;&gt;"not enrolled")),ROUND(((E17-(E17*0.01057))/4),0), IF((AND(I6="not enrolled",K6&lt;&gt;"not enrolled",M6&lt;&gt;"not enrolled",O6&lt;&gt;"not enrolled")),ROUND(((E17-(E17*0.01057))/3),0), IF((AND(I6="not enrolled",K6="not enrolled",M6&lt;&gt;"not enrolled",O6&lt;&gt;"not enrolled")),ROUND(((E17-(E17*0.01057))/2),0),  IF((AND(I6="not enrolled",K6="not enrolled",M6="not enrolled",O6&lt;&gt;"not enrolled")),ROUND(((E17-(E17*0.01057))/1),0), 0))))</f>
        <v>0</v>
      </c>
    </row>
    <row r="18" spans="2:15" ht="21.75" customHeight="1" x14ac:dyDescent="0.25">
      <c r="B18" s="11" t="s">
        <v>20</v>
      </c>
      <c r="C18" s="11"/>
      <c r="D18" s="11"/>
      <c r="E18" s="18"/>
      <c r="F18" s="11"/>
      <c r="G18" s="12">
        <f>SUM(I18,K18,M18,O18)</f>
        <v>0</v>
      </c>
      <c r="H18" s="11"/>
      <c r="I18" s="12">
        <f>IF((AND(I6&lt;&gt;"not enrolled",K6&lt;&gt;"not enrolled",M6&lt;&gt;"not enrolled",O6&lt;&gt;"not enrolled")),ROUND(((E18-(E18*0.04228))/4),0), IF((AND(I6&lt;&gt;"not enrolled",K6&lt;&gt;"not enrolled",M6&lt;&gt;"not enrolled",O6="not enrolled")),ROUND(((E18-(E18*0.04228))/3),0), IF((AND(I6&lt;&gt;"not enrolled",K6&lt;&gt;"not enrolled",M6="not enrolled",O6="not enrolled")),ROUND(((E18-(E18*0.04228))/2),0), IF((AND(I6&lt;&gt;"not enrolled",K6="not enrolled",M6="not enrolled",O6="not enrolled")),ROUND(((E18-(E18*0.04228))/1),0), 0))))</f>
        <v>0</v>
      </c>
      <c r="J18" s="11"/>
      <c r="K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IF((AND(I6&lt;&gt;"not enrolled",K6&lt;&gt;"not enrolled",M6="not enrolled",O6="not enrolled")),ROUND(((E18-(E18*0.04228))/2),0), 0))))</f>
        <v>0</v>
      </c>
      <c r="L18" s="12"/>
      <c r="M18" s="12">
        <f>IF((AND(I6&lt;&gt;"not enrolled",K6&lt;&gt;"not enrolled",M6&lt;&gt;"not enrolled",O6&lt;&gt;"not enrolled")),ROUND(((E18-(E18*0.04228))/4),0), IF((AND(I6&lt;&gt;"not enrolled",K6&lt;&gt;"not enrolled",M6&lt;&gt;"not enrolled",O6="not enrolled")),ROUND(((E18-(E18*0.04228))/3),0), IF((AND(I6="not enrolled",K6&lt;&gt;"not enrolled",M6&lt;&gt;"not enrolled",O6&lt;&gt;"not enrolled")),ROUND(((E18-(E18*0.04228))/3),0), IF((AND(I6="not enrolled",K6="not enrolled",M6&lt;&gt;"not enrolled",O6&lt;&gt;"not enrolled")),ROUND(((E18-(E18*0.04228))/2),0), 0))))</f>
        <v>0</v>
      </c>
      <c r="N18" s="12"/>
      <c r="O18" s="12">
        <f>IF((AND(I6&lt;&gt;"not enrolled",K6&lt;&gt;"not enrolled",M6&lt;&gt;"not enrolled",O6&lt;&gt;"not enrolled")),ROUND(((E18-(E18*0.04228))/4),0), IF((AND(I6="not enrolled",K6&lt;&gt;"not enrolled",M6&lt;&gt;"not enrolled",O6&lt;&gt;"not enrolled")),ROUND(((E18-(E18*0.04228))/3),0), IF((AND(I6="not enrolled",K6="not enrolled",M6&lt;&gt;"not enrolled",O6&lt;&gt;"not enrolled")),ROUND(((E18-(E18*0.04228))/2),0),  IF((AND(I6="not enrolled",K6="not enrolled",M6="not enrolled",O6&lt;&gt;"not enrolled")),ROUND(((E18-(E18*0.04228))/1),0), 0))))</f>
        <v>0</v>
      </c>
    </row>
    <row r="19" spans="2:15" ht="21.75" customHeight="1" x14ac:dyDescent="0.25">
      <c r="B19" t="s">
        <v>9</v>
      </c>
      <c r="G19" s="17"/>
      <c r="I19" s="5">
        <f>IF((AND(I6&lt;&gt;"not enrolled",K6&lt;&gt;"not enrolled",M6&lt;&gt;"not enrolled",O6&lt;&gt;"not enrolled")),(G19/4), IF((AND(I6&lt;&gt;"not enrolled",K6&lt;&gt;"not enrolled",M6&lt;&gt;"not enrolled",O6="not enrolled")),(G19/3), IF((AND(I6&lt;&gt;"not enrolled",K6&lt;&gt;"not enrolled",M6="not enrolled",O6="not enrolled")),(G19/2), IF((AND(I6&lt;&gt;"not enrolled",K6="not enrolled",M6="not enrolled",O6="not enrolled")),(G19/1), 0))))</f>
        <v>0</v>
      </c>
      <c r="K19" s="5">
        <f>IF((AND(I6&lt;&gt;"not enrolled",K6&lt;&gt;"not enrolled",M6&lt;&gt;"not enrolled",O6&lt;&gt;"not enrolled")),(G19/4), IF((AND(I6&lt;&gt;"not enrolled",K6&lt;&gt;"not enrolled",M6&lt;&gt;"not enrolled",O6="not enrolled")),(G19/3), IF((AND(I6="not enrolled",K6&lt;&gt;"not enrolled",M6&lt;&gt;"not enrolled",O6&lt;&gt;"not enrolled")),(G19/3), IF((AND(I6&lt;&gt;"not enrolled",K6&lt;&gt;"not enrolled",M6="not enrolled",O6="not enrolled")),(G19/2), 0))))</f>
        <v>0</v>
      </c>
      <c r="M19" s="5">
        <f>IF((AND(I6&lt;&gt;"not enrolled",K6&lt;&gt;"not enrolled",M6&lt;&gt;"not enrolled",O6&lt;&gt;"not enrolled")),(G19/4), IF((AND(I6&lt;&gt;"not enrolled",K6&lt;&gt;"not enrolled",M6&lt;&gt;"not enrolled",O6="not enrolled")),(G19/3), IF((AND(I6="not enrolled",K6&lt;&gt;"not enrolled",M6&lt;&gt;"not enrolled",O6&lt;&gt;"not enrolled")),(G19/3), IF((AND(I6="not enrolled",K6="not enrolled",M6&lt;&gt;"not enrolled",O6&lt;&gt;"not enrolled")),(G19/2), 0))))</f>
        <v>0</v>
      </c>
      <c r="O19" s="5">
        <f>IF((AND(I6&lt;&gt;"not enrolled",K6&lt;&gt;"not enrolled",M6&lt;&gt;"not enrolled",O6&lt;&gt;"not enrolled")),(G19/4), IF((AND(I6="not enrolled",K6&lt;&gt;"not enrolled",M6&lt;&gt;"not enrolled",O6&lt;&gt;"not enrolled")),(G19/3), IF((AND(I6="not enrolled",K6="not enrolled",M6&lt;&gt;"not enrolled",O6&lt;&gt;"not enrolled")),(G19/2),  IF((AND(I6="not enrolled",K6="not enrolled",M6="not enrolled",O6&lt;&gt;"not enrolled")),(G19), 0))))</f>
        <v>0</v>
      </c>
    </row>
    <row r="20" spans="2:15" ht="21.75" customHeight="1" x14ac:dyDescent="0.25">
      <c r="B20" s="74" t="s">
        <v>23</v>
      </c>
      <c r="C20" s="74"/>
      <c r="D20" s="74"/>
      <c r="E20" s="74"/>
      <c r="F20" s="74"/>
      <c r="G20" s="29">
        <f>I20+K20+M20+O20</f>
        <v>0</v>
      </c>
      <c r="H20" s="28"/>
      <c r="I20" s="19"/>
      <c r="J20" s="28"/>
      <c r="K20" s="19"/>
      <c r="L20" s="34"/>
      <c r="M20" s="19"/>
      <c r="N20" s="34"/>
      <c r="O20" s="19"/>
    </row>
    <row r="21" spans="2:15" ht="21.75" customHeight="1" x14ac:dyDescent="0.25">
      <c r="C21" s="8" t="s">
        <v>10</v>
      </c>
      <c r="G21" s="5">
        <f>SUM(G15:G20)</f>
        <v>0</v>
      </c>
      <c r="I21" s="5">
        <f>SUM(I15:I20)</f>
        <v>0</v>
      </c>
      <c r="K21" s="5">
        <f>SUM(K15:K20)</f>
        <v>0</v>
      </c>
      <c r="M21" s="5">
        <f>SUM(M15:M20)</f>
        <v>0</v>
      </c>
      <c r="O21" s="5">
        <f>SUM(O15:O20)</f>
        <v>0</v>
      </c>
    </row>
    <row r="22" spans="2:15" ht="15.75" thickBot="1" x14ac:dyDescent="0.3"/>
    <row r="23" spans="2:15" ht="21.75" customHeight="1" thickTop="1" thickBot="1" x14ac:dyDescent="0.35">
      <c r="B23" s="15" t="s">
        <v>12</v>
      </c>
      <c r="C23" s="14"/>
      <c r="D23" s="14"/>
      <c r="E23" s="14"/>
      <c r="F23" s="14"/>
      <c r="G23" s="26" t="e">
        <f>G12-G21</f>
        <v>#N/A</v>
      </c>
      <c r="H23" s="27"/>
      <c r="I23" s="26" t="e">
        <f>I12-I21</f>
        <v>#N/A</v>
      </c>
      <c r="J23" s="27"/>
      <c r="K23" s="26" t="e">
        <f>K12-K21</f>
        <v>#N/A</v>
      </c>
      <c r="L23" s="26"/>
      <c r="M23" s="26" t="e">
        <f>M12-M21</f>
        <v>#N/A</v>
      </c>
      <c r="N23" s="26"/>
      <c r="O23" s="26" t="e">
        <f>O12-O21</f>
        <v>#N/A</v>
      </c>
    </row>
    <row r="24" spans="2:15" ht="15.75" thickTop="1" x14ac:dyDescent="0.25"/>
    <row r="25" spans="2:15" x14ac:dyDescent="0.25">
      <c r="B25" s="8" t="s">
        <v>13</v>
      </c>
    </row>
    <row r="26" spans="2:15" ht="21" customHeight="1" x14ac:dyDescent="0.25">
      <c r="B26" t="s">
        <v>86</v>
      </c>
      <c r="G26"/>
      <c r="I26"/>
      <c r="K26"/>
      <c r="L26"/>
      <c r="M26"/>
      <c r="N26"/>
      <c r="O26" s="50"/>
    </row>
    <row r="27" spans="2:15" ht="21.75" customHeight="1" x14ac:dyDescent="0.25">
      <c r="B27" s="73" t="s">
        <v>18</v>
      </c>
      <c r="C27" s="73"/>
      <c r="D27" s="73"/>
      <c r="E27" s="73"/>
      <c r="F27" s="73"/>
      <c r="G27" s="73"/>
      <c r="H27" s="73"/>
      <c r="I27" s="73"/>
      <c r="J27" s="73"/>
      <c r="K27" s="73"/>
      <c r="L27" s="73"/>
      <c r="M27" s="73"/>
      <c r="N27" s="73"/>
      <c r="O27" s="73"/>
    </row>
    <row r="28" spans="2:15" ht="34.5" customHeight="1" x14ac:dyDescent="0.25">
      <c r="B28" s="75" t="s">
        <v>87</v>
      </c>
      <c r="C28" s="75"/>
      <c r="D28" s="75"/>
      <c r="E28" s="75"/>
      <c r="F28" s="75"/>
      <c r="G28" s="75"/>
      <c r="H28" s="75"/>
      <c r="I28" s="75"/>
      <c r="J28" s="75"/>
      <c r="K28" s="75"/>
      <c r="L28" s="75"/>
      <c r="M28" s="75"/>
      <c r="N28" s="75"/>
      <c r="O28" s="75"/>
    </row>
    <row r="29" spans="2:15" ht="51" customHeight="1" x14ac:dyDescent="0.25">
      <c r="B29" s="75" t="s">
        <v>52</v>
      </c>
      <c r="C29" s="75"/>
      <c r="D29" s="75"/>
      <c r="E29" s="75"/>
      <c r="F29" s="75"/>
      <c r="G29" s="75"/>
      <c r="H29" s="75"/>
      <c r="I29" s="75"/>
      <c r="J29" s="75"/>
      <c r="K29" s="75"/>
      <c r="L29" s="75"/>
      <c r="M29" s="75"/>
      <c r="N29" s="75"/>
      <c r="O29" s="75"/>
    </row>
    <row r="30" spans="2:15" ht="21.75" customHeight="1" x14ac:dyDescent="0.25"/>
    <row r="32" spans="2:15" x14ac:dyDescent="0.25">
      <c r="B32" s="63" t="s">
        <v>14</v>
      </c>
      <c r="C32" s="63"/>
      <c r="D32" s="63"/>
      <c r="E32" s="63"/>
      <c r="F32" s="63"/>
      <c r="G32" s="63"/>
      <c r="H32" s="63"/>
      <c r="I32" s="63"/>
      <c r="J32" s="63"/>
      <c r="K32" s="63"/>
      <c r="L32" s="63"/>
      <c r="M32" s="63"/>
      <c r="N32" s="63"/>
      <c r="O32" s="63"/>
    </row>
  </sheetData>
  <sheetProtection algorithmName="SHA-512" hashValue="Z5+drkjyDc2lzMTQTxjbQvp3NW+z6kMtGP9L2j7VtiA6UhKjPays7WHkT3AQoDwB4QhqH3WTieJ3U6tCjhvU/Q==" saltValue="XhKJHOycSl+cY3RWD8v2Gw==" spinCount="100000" sheet="1" objects="1" scenarios="1" selectLockedCells="1"/>
  <mergeCells count="7">
    <mergeCell ref="B29:O29"/>
    <mergeCell ref="B32:O32"/>
    <mergeCell ref="G2:O2"/>
    <mergeCell ref="C10:D10"/>
    <mergeCell ref="B20:F20"/>
    <mergeCell ref="B27:O27"/>
    <mergeCell ref="B28:O28"/>
  </mergeCells>
  <pageMargins left="0.5" right="0.5" top="0.5" bottom="0.5" header="0.3" footer="0.3"/>
  <pageSetup scale="72"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400-000000000000}">
          <x14:formula1>
            <xm:f>Data!$J$25:$J$42</xm:f>
          </x14:formula1>
          <xm:sqref>O6 M6 K6 I6</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U65"/>
  <sheetViews>
    <sheetView showGridLines="0" topLeftCell="A19" workbookViewId="0">
      <selection activeCell="J24" sqref="J24"/>
    </sheetView>
  </sheetViews>
  <sheetFormatPr defaultColWidth="8.85546875" defaultRowHeight="15" x14ac:dyDescent="0.25"/>
  <cols>
    <col min="1" max="1" width="11.42578125" customWidth="1"/>
    <col min="5" max="5" width="12.140625" bestFit="1" customWidth="1"/>
    <col min="6" max="6" width="16.140625" customWidth="1"/>
    <col min="7" max="7" width="14" bestFit="1" customWidth="1"/>
    <col min="8" max="9" width="11.85546875" customWidth="1"/>
    <col min="10" max="10" width="12.7109375" bestFit="1" customWidth="1"/>
    <col min="11" max="11" width="14" bestFit="1" customWidth="1"/>
    <col min="12" max="12" width="11.85546875" customWidth="1"/>
  </cols>
  <sheetData>
    <row r="1" spans="1:21" x14ac:dyDescent="0.25">
      <c r="A1" s="8" t="s">
        <v>73</v>
      </c>
      <c r="E1" s="8" t="s">
        <v>74</v>
      </c>
      <c r="F1" s="8"/>
    </row>
    <row r="2" spans="1:21" x14ac:dyDescent="0.25">
      <c r="A2" t="s">
        <v>62</v>
      </c>
      <c r="E2" t="s">
        <v>62</v>
      </c>
    </row>
    <row r="3" spans="1:21" x14ac:dyDescent="0.25">
      <c r="A3" t="s">
        <v>41</v>
      </c>
      <c r="B3">
        <v>0</v>
      </c>
      <c r="C3">
        <v>0</v>
      </c>
      <c r="E3" t="s">
        <v>41</v>
      </c>
      <c r="F3">
        <v>0</v>
      </c>
      <c r="G3">
        <v>0</v>
      </c>
      <c r="J3" s="75"/>
      <c r="K3" s="75"/>
      <c r="L3" s="75"/>
      <c r="M3" s="75"/>
      <c r="N3" s="75"/>
      <c r="O3" s="75"/>
      <c r="P3" s="75"/>
      <c r="Q3" s="75"/>
      <c r="R3" s="75"/>
      <c r="S3" s="75"/>
      <c r="T3" s="75"/>
      <c r="U3" s="75"/>
    </row>
    <row r="4" spans="1:21" x14ac:dyDescent="0.25">
      <c r="A4" t="s">
        <v>24</v>
      </c>
      <c r="B4">
        <v>5240</v>
      </c>
      <c r="C4">
        <v>16</v>
      </c>
      <c r="E4" t="s">
        <v>24</v>
      </c>
      <c r="F4">
        <v>6672</v>
      </c>
      <c r="G4">
        <v>16</v>
      </c>
      <c r="J4" s="75"/>
      <c r="K4" s="75"/>
      <c r="L4" s="75"/>
      <c r="M4" s="75"/>
      <c r="N4" s="75"/>
      <c r="O4" s="75"/>
      <c r="P4" s="75"/>
      <c r="Q4" s="75"/>
      <c r="R4" s="75"/>
      <c r="S4" s="75"/>
      <c r="T4" s="75"/>
      <c r="U4" s="75"/>
    </row>
    <row r="5" spans="1:21" x14ac:dyDescent="0.25">
      <c r="A5" t="s">
        <v>25</v>
      </c>
      <c r="B5">
        <v>6550</v>
      </c>
      <c r="C5">
        <v>20</v>
      </c>
      <c r="E5" t="s">
        <v>25</v>
      </c>
      <c r="F5">
        <v>8340</v>
      </c>
      <c r="G5">
        <v>20</v>
      </c>
      <c r="J5" s="75"/>
      <c r="K5" s="75"/>
      <c r="L5" s="75"/>
      <c r="M5" s="75"/>
      <c r="N5" s="75"/>
      <c r="O5" s="75"/>
      <c r="P5" s="75"/>
      <c r="Q5" s="75"/>
      <c r="R5" s="75"/>
      <c r="S5" s="75"/>
      <c r="T5" s="75"/>
      <c r="U5" s="75"/>
    </row>
    <row r="6" spans="1:21" x14ac:dyDescent="0.25">
      <c r="A6" t="s">
        <v>26</v>
      </c>
      <c r="B6">
        <v>7860</v>
      </c>
      <c r="C6">
        <v>24</v>
      </c>
      <c r="E6" t="s">
        <v>26</v>
      </c>
      <c r="F6">
        <v>10008</v>
      </c>
      <c r="G6">
        <v>24</v>
      </c>
    </row>
    <row r="7" spans="1:21" x14ac:dyDescent="0.25">
      <c r="A7" t="s">
        <v>27</v>
      </c>
      <c r="B7">
        <v>9170</v>
      </c>
      <c r="C7">
        <v>28</v>
      </c>
      <c r="E7" t="s">
        <v>27</v>
      </c>
      <c r="F7">
        <v>11676</v>
      </c>
      <c r="G7">
        <v>28</v>
      </c>
    </row>
    <row r="8" spans="1:21" x14ac:dyDescent="0.25">
      <c r="A8" t="s">
        <v>28</v>
      </c>
      <c r="B8">
        <v>10480</v>
      </c>
      <c r="C8">
        <v>32</v>
      </c>
      <c r="E8" t="s">
        <v>28</v>
      </c>
      <c r="F8">
        <v>13344</v>
      </c>
      <c r="G8">
        <v>32</v>
      </c>
    </row>
    <row r="9" spans="1:21" x14ac:dyDescent="0.25">
      <c r="A9" t="s">
        <v>29</v>
      </c>
      <c r="B9">
        <v>11790</v>
      </c>
      <c r="C9">
        <v>36</v>
      </c>
      <c r="E9" t="s">
        <v>29</v>
      </c>
      <c r="F9">
        <v>15012</v>
      </c>
      <c r="G9">
        <v>36</v>
      </c>
    </row>
    <row r="10" spans="1:21" x14ac:dyDescent="0.25">
      <c r="A10" t="s">
        <v>30</v>
      </c>
      <c r="B10">
        <v>13100</v>
      </c>
      <c r="C10">
        <v>40</v>
      </c>
      <c r="E10" t="s">
        <v>30</v>
      </c>
      <c r="F10">
        <v>16680</v>
      </c>
      <c r="G10">
        <v>40</v>
      </c>
    </row>
    <row r="11" spans="1:21" x14ac:dyDescent="0.25">
      <c r="A11" t="s">
        <v>31</v>
      </c>
      <c r="B11">
        <v>14410</v>
      </c>
      <c r="C11">
        <v>44</v>
      </c>
      <c r="E11" t="s">
        <v>31</v>
      </c>
      <c r="F11">
        <v>18348</v>
      </c>
      <c r="G11">
        <v>44</v>
      </c>
    </row>
    <row r="12" spans="1:21" x14ac:dyDescent="0.25">
      <c r="A12" t="s">
        <v>32</v>
      </c>
      <c r="B12">
        <v>15720</v>
      </c>
      <c r="C12">
        <v>48</v>
      </c>
      <c r="E12" t="s">
        <v>32</v>
      </c>
      <c r="F12">
        <v>20016</v>
      </c>
      <c r="G12">
        <v>48</v>
      </c>
    </row>
    <row r="13" spans="1:21" x14ac:dyDescent="0.25">
      <c r="A13" t="s">
        <v>33</v>
      </c>
      <c r="B13">
        <v>17030</v>
      </c>
      <c r="C13">
        <v>48</v>
      </c>
      <c r="E13" t="s">
        <v>33</v>
      </c>
      <c r="F13">
        <v>21684</v>
      </c>
      <c r="G13">
        <v>48</v>
      </c>
    </row>
    <row r="14" spans="1:21" x14ac:dyDescent="0.25">
      <c r="A14" t="s">
        <v>34</v>
      </c>
      <c r="B14">
        <v>18340</v>
      </c>
      <c r="C14">
        <v>48</v>
      </c>
      <c r="E14" t="s">
        <v>34</v>
      </c>
      <c r="F14">
        <v>23352</v>
      </c>
      <c r="G14">
        <v>48</v>
      </c>
    </row>
    <row r="15" spans="1:21" x14ac:dyDescent="0.25">
      <c r="A15" t="s">
        <v>35</v>
      </c>
      <c r="B15">
        <v>19650</v>
      </c>
      <c r="C15">
        <v>48</v>
      </c>
      <c r="E15" t="s">
        <v>35</v>
      </c>
      <c r="F15">
        <v>25020</v>
      </c>
      <c r="G15">
        <v>48</v>
      </c>
    </row>
    <row r="16" spans="1:21" x14ac:dyDescent="0.25">
      <c r="A16" t="s">
        <v>36</v>
      </c>
      <c r="B16">
        <v>20960</v>
      </c>
      <c r="C16">
        <v>48</v>
      </c>
      <c r="E16" t="s">
        <v>36</v>
      </c>
      <c r="F16">
        <v>26688</v>
      </c>
      <c r="G16">
        <v>48</v>
      </c>
    </row>
    <row r="17" spans="1:21" x14ac:dyDescent="0.25">
      <c r="A17" t="s">
        <v>37</v>
      </c>
      <c r="B17">
        <v>22270</v>
      </c>
      <c r="C17">
        <v>48</v>
      </c>
      <c r="E17" t="s">
        <v>37</v>
      </c>
      <c r="F17">
        <v>28356</v>
      </c>
      <c r="G17">
        <v>48</v>
      </c>
    </row>
    <row r="18" spans="1:21" x14ac:dyDescent="0.25">
      <c r="A18" t="s">
        <v>38</v>
      </c>
      <c r="B18">
        <v>23580</v>
      </c>
      <c r="C18">
        <v>48</v>
      </c>
      <c r="E18" t="s">
        <v>38</v>
      </c>
      <c r="F18">
        <v>30024</v>
      </c>
      <c r="G18">
        <v>48</v>
      </c>
    </row>
    <row r="19" spans="1:21" x14ac:dyDescent="0.25">
      <c r="A19" t="s">
        <v>39</v>
      </c>
      <c r="B19">
        <v>24890</v>
      </c>
      <c r="C19">
        <v>52</v>
      </c>
      <c r="E19" t="s">
        <v>39</v>
      </c>
      <c r="F19">
        <v>31692</v>
      </c>
      <c r="G19">
        <v>52</v>
      </c>
    </row>
    <row r="20" spans="1:21" x14ac:dyDescent="0.25">
      <c r="A20" t="s">
        <v>40</v>
      </c>
      <c r="B20">
        <v>26200</v>
      </c>
      <c r="C20">
        <v>56</v>
      </c>
      <c r="E20" t="s">
        <v>40</v>
      </c>
      <c r="F20">
        <v>33360</v>
      </c>
      <c r="G20">
        <v>56</v>
      </c>
    </row>
    <row r="21" spans="1:21" x14ac:dyDescent="0.25">
      <c r="A21" t="s">
        <v>44</v>
      </c>
      <c r="B21">
        <v>27510</v>
      </c>
      <c r="C21">
        <v>60</v>
      </c>
      <c r="E21" t="s">
        <v>44</v>
      </c>
      <c r="F21">
        <v>35028</v>
      </c>
      <c r="G21">
        <v>60</v>
      </c>
    </row>
    <row r="22" spans="1:21" x14ac:dyDescent="0.25">
      <c r="A22" t="s">
        <v>45</v>
      </c>
      <c r="B22">
        <v>28820</v>
      </c>
      <c r="C22">
        <v>64</v>
      </c>
      <c r="E22" t="s">
        <v>45</v>
      </c>
      <c r="F22">
        <v>36696</v>
      </c>
      <c r="G22">
        <v>64</v>
      </c>
    </row>
    <row r="24" spans="1:21" x14ac:dyDescent="0.25">
      <c r="A24" s="8" t="s">
        <v>21</v>
      </c>
      <c r="E24" s="8" t="s">
        <v>80</v>
      </c>
      <c r="F24" s="8"/>
      <c r="G24" s="38" t="s">
        <v>43</v>
      </c>
      <c r="I24" s="8"/>
      <c r="J24" s="8" t="s">
        <v>47</v>
      </c>
      <c r="K24" s="38"/>
      <c r="L24" s="38" t="s">
        <v>43</v>
      </c>
      <c r="M24" s="50"/>
      <c r="N24" s="50"/>
      <c r="O24" s="50"/>
      <c r="P24" s="50"/>
      <c r="Q24" s="50"/>
      <c r="R24" s="50"/>
      <c r="S24" s="50"/>
      <c r="T24" s="50"/>
      <c r="U24" s="50"/>
    </row>
    <row r="25" spans="1:21" x14ac:dyDescent="0.25">
      <c r="A25" t="s">
        <v>4</v>
      </c>
      <c r="B25">
        <v>1885</v>
      </c>
      <c r="C25">
        <v>233</v>
      </c>
      <c r="E25" t="s">
        <v>41</v>
      </c>
      <c r="F25">
        <v>0</v>
      </c>
      <c r="G25">
        <v>0</v>
      </c>
      <c r="J25" t="s">
        <v>41</v>
      </c>
      <c r="K25">
        <v>0</v>
      </c>
      <c r="L25">
        <v>0</v>
      </c>
      <c r="M25" s="50"/>
      <c r="N25" s="50"/>
      <c r="O25" s="50"/>
      <c r="P25" s="50"/>
      <c r="Q25" s="50"/>
      <c r="R25" s="50"/>
      <c r="S25" s="50"/>
      <c r="T25" s="50"/>
      <c r="U25" s="50"/>
    </row>
    <row r="26" spans="1:21" x14ac:dyDescent="0.25">
      <c r="A26" t="s">
        <v>5</v>
      </c>
      <c r="B26">
        <v>0</v>
      </c>
      <c r="C26">
        <v>0</v>
      </c>
      <c r="E26" t="s">
        <v>24</v>
      </c>
      <c r="F26">
        <v>3336</v>
      </c>
      <c r="G26">
        <v>16</v>
      </c>
      <c r="J26" t="s">
        <v>24</v>
      </c>
      <c r="K26">
        <v>4656</v>
      </c>
      <c r="L26">
        <v>16</v>
      </c>
    </row>
    <row r="27" spans="1:21" x14ac:dyDescent="0.25">
      <c r="E27" t="s">
        <v>25</v>
      </c>
      <c r="F27">
        <v>4170</v>
      </c>
      <c r="G27">
        <v>20</v>
      </c>
      <c r="J27" t="s">
        <v>25</v>
      </c>
      <c r="K27">
        <v>5820</v>
      </c>
      <c r="L27">
        <v>20</v>
      </c>
    </row>
    <row r="28" spans="1:21" x14ac:dyDescent="0.25">
      <c r="E28" t="s">
        <v>26</v>
      </c>
      <c r="F28">
        <v>5004</v>
      </c>
      <c r="G28">
        <v>24</v>
      </c>
      <c r="J28" t="s">
        <v>26</v>
      </c>
      <c r="K28">
        <v>6984</v>
      </c>
      <c r="L28">
        <v>24</v>
      </c>
    </row>
    <row r="29" spans="1:21" x14ac:dyDescent="0.25">
      <c r="E29" t="s">
        <v>27</v>
      </c>
      <c r="F29">
        <v>5838</v>
      </c>
      <c r="G29">
        <v>28</v>
      </c>
      <c r="J29" t="s">
        <v>27</v>
      </c>
      <c r="K29">
        <v>8148</v>
      </c>
      <c r="L29">
        <v>28</v>
      </c>
    </row>
    <row r="30" spans="1:21" x14ac:dyDescent="0.25">
      <c r="E30" t="s">
        <v>28</v>
      </c>
      <c r="F30">
        <v>6672</v>
      </c>
      <c r="G30">
        <v>32</v>
      </c>
      <c r="J30" t="s">
        <v>28</v>
      </c>
      <c r="K30">
        <v>9312</v>
      </c>
      <c r="L30">
        <v>32</v>
      </c>
    </row>
    <row r="31" spans="1:21" x14ac:dyDescent="0.25">
      <c r="E31" t="s">
        <v>29</v>
      </c>
      <c r="F31">
        <v>7506</v>
      </c>
      <c r="G31">
        <v>36</v>
      </c>
      <c r="J31" t="s">
        <v>29</v>
      </c>
      <c r="K31">
        <v>10476</v>
      </c>
      <c r="L31">
        <v>36</v>
      </c>
    </row>
    <row r="32" spans="1:21" x14ac:dyDescent="0.25">
      <c r="E32" t="s">
        <v>30</v>
      </c>
      <c r="F32">
        <v>8340</v>
      </c>
      <c r="G32">
        <v>40</v>
      </c>
      <c r="J32" t="s">
        <v>30</v>
      </c>
      <c r="K32">
        <v>11640</v>
      </c>
      <c r="L32">
        <v>40</v>
      </c>
    </row>
    <row r="33" spans="1:12" x14ac:dyDescent="0.25">
      <c r="E33" t="s">
        <v>31</v>
      </c>
      <c r="F33">
        <v>9174</v>
      </c>
      <c r="G33">
        <v>44</v>
      </c>
      <c r="J33" t="s">
        <v>31</v>
      </c>
      <c r="K33">
        <v>12804</v>
      </c>
      <c r="L33">
        <v>44</v>
      </c>
    </row>
    <row r="34" spans="1:12" x14ac:dyDescent="0.25">
      <c r="E34" t="s">
        <v>32</v>
      </c>
      <c r="F34">
        <v>10008</v>
      </c>
      <c r="G34">
        <v>48</v>
      </c>
      <c r="J34" t="s">
        <v>32</v>
      </c>
      <c r="K34">
        <v>13968</v>
      </c>
      <c r="L34">
        <v>48</v>
      </c>
    </row>
    <row r="35" spans="1:12" x14ac:dyDescent="0.25">
      <c r="E35" t="s">
        <v>33</v>
      </c>
      <c r="F35">
        <v>10842</v>
      </c>
      <c r="G35">
        <v>52</v>
      </c>
      <c r="J35" t="s">
        <v>33</v>
      </c>
      <c r="K35">
        <v>15132</v>
      </c>
      <c r="L35">
        <v>52</v>
      </c>
    </row>
    <row r="36" spans="1:12" x14ac:dyDescent="0.25">
      <c r="E36" t="s">
        <v>34</v>
      </c>
      <c r="F36">
        <v>11676</v>
      </c>
      <c r="G36">
        <v>56</v>
      </c>
      <c r="J36" t="s">
        <v>34</v>
      </c>
      <c r="K36">
        <v>16296</v>
      </c>
      <c r="L36">
        <v>56</v>
      </c>
    </row>
    <row r="37" spans="1:12" x14ac:dyDescent="0.25">
      <c r="E37" t="s">
        <v>35</v>
      </c>
      <c r="F37">
        <v>12510</v>
      </c>
      <c r="G37">
        <v>60</v>
      </c>
      <c r="J37" t="s">
        <v>35</v>
      </c>
      <c r="K37">
        <v>17460</v>
      </c>
      <c r="L37">
        <v>60</v>
      </c>
    </row>
    <row r="38" spans="1:12" x14ac:dyDescent="0.25">
      <c r="E38" t="s">
        <v>36</v>
      </c>
      <c r="F38">
        <v>13344</v>
      </c>
      <c r="G38">
        <v>64</v>
      </c>
      <c r="J38" t="s">
        <v>36</v>
      </c>
      <c r="K38">
        <v>18624</v>
      </c>
      <c r="L38">
        <v>64</v>
      </c>
    </row>
    <row r="39" spans="1:12" x14ac:dyDescent="0.25">
      <c r="E39" t="s">
        <v>37</v>
      </c>
      <c r="F39">
        <v>14178</v>
      </c>
      <c r="G39">
        <v>68</v>
      </c>
      <c r="J39" t="s">
        <v>37</v>
      </c>
      <c r="K39">
        <v>19788</v>
      </c>
      <c r="L39">
        <v>68</v>
      </c>
    </row>
    <row r="40" spans="1:12" x14ac:dyDescent="0.25">
      <c r="E40" t="s">
        <v>38</v>
      </c>
      <c r="F40">
        <v>15012</v>
      </c>
      <c r="G40">
        <v>72</v>
      </c>
      <c r="J40" t="s">
        <v>38</v>
      </c>
      <c r="K40">
        <v>20952</v>
      </c>
      <c r="L40">
        <v>72</v>
      </c>
    </row>
    <row r="41" spans="1:12" x14ac:dyDescent="0.25">
      <c r="E41" t="s">
        <v>39</v>
      </c>
      <c r="F41">
        <v>15846</v>
      </c>
      <c r="G41">
        <v>76</v>
      </c>
      <c r="J41" t="s">
        <v>39</v>
      </c>
      <c r="K41">
        <v>22116</v>
      </c>
      <c r="L41">
        <v>76</v>
      </c>
    </row>
    <row r="42" spans="1:12" x14ac:dyDescent="0.25">
      <c r="E42" t="s">
        <v>40</v>
      </c>
      <c r="F42">
        <v>16680</v>
      </c>
      <c r="G42">
        <v>80</v>
      </c>
      <c r="J42" t="s">
        <v>40</v>
      </c>
      <c r="K42">
        <v>23280</v>
      </c>
      <c r="L42">
        <v>80</v>
      </c>
    </row>
    <row r="44" spans="1:12" x14ac:dyDescent="0.25">
      <c r="E44" s="8"/>
      <c r="F44" s="38"/>
      <c r="G44" s="38"/>
      <c r="H44" s="38"/>
      <c r="I44" s="8"/>
    </row>
    <row r="45" spans="1:12" x14ac:dyDescent="0.25">
      <c r="A45" s="8" t="s">
        <v>56</v>
      </c>
    </row>
    <row r="46" spans="1:12" x14ac:dyDescent="0.25">
      <c r="A46" t="s">
        <v>41</v>
      </c>
      <c r="B46">
        <v>0</v>
      </c>
      <c r="C46">
        <v>0</v>
      </c>
      <c r="D46">
        <v>0</v>
      </c>
    </row>
    <row r="47" spans="1:12" x14ac:dyDescent="0.25">
      <c r="A47" t="s">
        <v>24</v>
      </c>
      <c r="B47">
        <v>6448</v>
      </c>
      <c r="C47">
        <v>16</v>
      </c>
      <c r="D47">
        <v>53</v>
      </c>
    </row>
    <row r="48" spans="1:12" x14ac:dyDescent="0.25">
      <c r="A48" t="s">
        <v>25</v>
      </c>
      <c r="B48">
        <v>8060</v>
      </c>
      <c r="C48">
        <v>20</v>
      </c>
      <c r="D48">
        <v>53</v>
      </c>
    </row>
    <row r="49" spans="1:4" x14ac:dyDescent="0.25">
      <c r="A49" t="s">
        <v>26</v>
      </c>
      <c r="B49">
        <v>9672</v>
      </c>
      <c r="C49">
        <v>24</v>
      </c>
      <c r="D49">
        <v>53</v>
      </c>
    </row>
    <row r="50" spans="1:4" x14ac:dyDescent="0.25">
      <c r="A50" t="s">
        <v>27</v>
      </c>
      <c r="B50">
        <v>11284</v>
      </c>
      <c r="C50">
        <v>28</v>
      </c>
      <c r="D50">
        <v>53</v>
      </c>
    </row>
    <row r="51" spans="1:4" x14ac:dyDescent="0.25">
      <c r="A51" t="s">
        <v>28</v>
      </c>
      <c r="B51">
        <v>12896</v>
      </c>
      <c r="C51">
        <v>32</v>
      </c>
      <c r="D51">
        <v>53</v>
      </c>
    </row>
    <row r="52" spans="1:4" x14ac:dyDescent="0.25">
      <c r="A52" t="s">
        <v>29</v>
      </c>
      <c r="B52">
        <v>14508</v>
      </c>
      <c r="C52">
        <v>36</v>
      </c>
      <c r="D52">
        <v>53</v>
      </c>
    </row>
    <row r="53" spans="1:4" x14ac:dyDescent="0.25">
      <c r="A53" t="s">
        <v>30</v>
      </c>
      <c r="B53">
        <v>16120</v>
      </c>
      <c r="C53">
        <v>40</v>
      </c>
      <c r="D53">
        <v>53</v>
      </c>
    </row>
    <row r="54" spans="1:4" x14ac:dyDescent="0.25">
      <c r="A54" t="s">
        <v>31</v>
      </c>
      <c r="B54">
        <v>17732</v>
      </c>
      <c r="C54">
        <v>44</v>
      </c>
      <c r="D54">
        <v>53</v>
      </c>
    </row>
    <row r="55" spans="1:4" x14ac:dyDescent="0.25">
      <c r="A55" t="s">
        <v>32</v>
      </c>
      <c r="B55">
        <v>19344</v>
      </c>
      <c r="C55">
        <v>48</v>
      </c>
      <c r="D55">
        <v>53</v>
      </c>
    </row>
    <row r="56" spans="1:4" x14ac:dyDescent="0.25">
      <c r="A56" t="s">
        <v>33</v>
      </c>
      <c r="B56">
        <v>20956</v>
      </c>
      <c r="C56">
        <v>52</v>
      </c>
      <c r="D56">
        <v>53</v>
      </c>
    </row>
    <row r="57" spans="1:4" x14ac:dyDescent="0.25">
      <c r="A57" t="s">
        <v>34</v>
      </c>
      <c r="B57">
        <v>22568</v>
      </c>
      <c r="C57">
        <v>56</v>
      </c>
      <c r="D57">
        <v>53</v>
      </c>
    </row>
    <row r="58" spans="1:4" x14ac:dyDescent="0.25">
      <c r="A58" t="s">
        <v>35</v>
      </c>
      <c r="B58">
        <v>24180</v>
      </c>
      <c r="C58">
        <v>60</v>
      </c>
      <c r="D58">
        <v>53</v>
      </c>
    </row>
    <row r="59" spans="1:4" x14ac:dyDescent="0.25">
      <c r="A59" t="s">
        <v>36</v>
      </c>
      <c r="B59">
        <v>25792</v>
      </c>
      <c r="C59">
        <v>64</v>
      </c>
      <c r="D59">
        <v>53</v>
      </c>
    </row>
    <row r="60" spans="1:4" x14ac:dyDescent="0.25">
      <c r="A60" t="s">
        <v>37</v>
      </c>
      <c r="B60">
        <v>27404</v>
      </c>
      <c r="C60">
        <v>68</v>
      </c>
      <c r="D60">
        <v>53</v>
      </c>
    </row>
    <row r="61" spans="1:4" x14ac:dyDescent="0.25">
      <c r="A61" t="s">
        <v>38</v>
      </c>
      <c r="B61">
        <v>29016</v>
      </c>
      <c r="C61">
        <v>72</v>
      </c>
      <c r="D61">
        <v>53</v>
      </c>
    </row>
    <row r="62" spans="1:4" x14ac:dyDescent="0.25">
      <c r="A62" t="s">
        <v>39</v>
      </c>
      <c r="B62">
        <v>30628</v>
      </c>
      <c r="C62">
        <v>76</v>
      </c>
      <c r="D62">
        <v>53</v>
      </c>
    </row>
    <row r="63" spans="1:4" x14ac:dyDescent="0.25">
      <c r="A63" t="s">
        <v>40</v>
      </c>
      <c r="B63">
        <v>32240</v>
      </c>
      <c r="C63">
        <v>80</v>
      </c>
      <c r="D63">
        <v>53</v>
      </c>
    </row>
    <row r="64" spans="1:4" x14ac:dyDescent="0.25">
      <c r="A64" t="s">
        <v>44</v>
      </c>
      <c r="B64">
        <v>33852</v>
      </c>
      <c r="C64">
        <v>84</v>
      </c>
      <c r="D64">
        <v>53</v>
      </c>
    </row>
    <row r="65" spans="1:4" x14ac:dyDescent="0.25">
      <c r="A65" t="s">
        <v>45</v>
      </c>
      <c r="B65">
        <v>35464</v>
      </c>
      <c r="C65">
        <v>88</v>
      </c>
      <c r="D65">
        <v>53</v>
      </c>
    </row>
  </sheetData>
  <sheetProtection algorithmName="SHA-512" hashValue="EBZMJ+nm0XDeO7I7sW4ZgTSIr0IC8Wsp+rnkitrzgu2479BPHKRsUKvOV8Q3TRme/FarsEZcbHO8YplaQzzA2A==" saltValue="K6rqTmYbVBDqHTmU17qbhA==" spinCount="100000" sheet="1" objects="1" scenarios="1" selectLockedCells="1" selectUnlockedCells="1"/>
  <mergeCells count="3">
    <mergeCell ref="J3:U3"/>
    <mergeCell ref="J4:U4"/>
    <mergeCell ref="J5:U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2" baseType="variant">
      <vt:variant>
        <vt:lpstr>Worksheets</vt:lpstr>
      </vt:variant>
      <vt:variant>
        <vt:i4>6</vt:i4>
      </vt:variant>
    </vt:vector>
  </HeadingPairs>
  <TitlesOfParts>
    <vt:vector size="6" baseType="lpstr">
      <vt:lpstr>Worksheets Home</vt:lpstr>
      <vt:lpstr>On-Campus MSW</vt:lpstr>
      <vt:lpstr>On-Campus PhD</vt:lpstr>
      <vt:lpstr>West. CO &amp; 4 Corners</vt:lpstr>
      <vt:lpstr>MSW@Denver</vt:lpstr>
      <vt:lpstr>Data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Lisa Westendorf</dc:creator>
  <cp:lastModifiedBy>Lisa Westendorf</cp:lastModifiedBy>
  <cp:lastPrinted>2019-02-07T21:36:17Z</cp:lastPrinted>
  <dcterms:created xsi:type="dcterms:W3CDTF">2018-06-06T22:54:45Z</dcterms:created>
  <dcterms:modified xsi:type="dcterms:W3CDTF">2024-02-29T17:52:35Z</dcterms:modified>
</cp:coreProperties>
</file>