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fileSharing readOnlyRecommended="1"/>
  <workbookPr/>
  <mc:AlternateContent xmlns:mc="http://schemas.openxmlformats.org/markup-compatibility/2006">
    <mc:Choice Requires="x15">
      <x15ac:absPath xmlns:x15ac="http://schemas.microsoft.com/office/spreadsheetml/2010/11/ac" url="R:\Financial Aid\Communication\2526\Billing Worksheets\"/>
    </mc:Choice>
  </mc:AlternateContent>
  <xr:revisionPtr revIDLastSave="0" documentId="13_ncr:1_{DB591E45-F2E5-4D61-8041-AB7FE75135C7}" xr6:coauthVersionLast="47" xr6:coauthVersionMax="47" xr10:uidLastSave="{00000000-0000-0000-0000-000000000000}"/>
  <workbookProtection workbookAlgorithmName="SHA-512" workbookHashValue="3GFBW2MHwkLPha4PN19hJqEd//aF0mJsJm8xG5M08ztq0p0IAXtenZeaKbA0OiO6H9QQZutFqBLSAFqUbd/APA==" workbookSaltValue="fnX7GVGFZNiuJ3wteT51ag==" workbookSpinCount="100000" lockStructure="1"/>
  <bookViews>
    <workbookView xWindow="28680" yWindow="-120" windowWidth="29040" windowHeight="15720" tabRatio="721" xr2:uid="{00000000-000D-0000-FFFF-FFFF00000000}"/>
  </bookViews>
  <sheets>
    <sheet name="Worksheets Home" sheetId="4" r:id="rId1"/>
    <sheet name="Cyber Sec." sheetId="34" r:id="rId2"/>
    <sheet name="Data Sci" sheetId="35" r:id="rId3"/>
    <sheet name="All Other" sheetId="36" r:id="rId4"/>
    <sheet name="Online" sheetId="15" r:id="rId5"/>
    <sheet name="Data" sheetId="31" state="hidden" r:id="rId6"/>
  </sheets>
  <definedNames>
    <definedName name="Credits" localSheetId="3">#REF!</definedName>
    <definedName name="Credits" localSheetId="1">#REF!</definedName>
    <definedName name="Credits" localSheetId="2">#REF!</definedName>
    <definedName name="Credi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5" i="36" l="1"/>
  <c r="L15" i="36"/>
  <c r="J15" i="36"/>
  <c r="N15" i="35"/>
  <c r="L15" i="35"/>
  <c r="J15" i="35"/>
  <c r="N15" i="34"/>
  <c r="L15" i="34"/>
  <c r="J15" i="34"/>
  <c r="O12" i="15"/>
  <c r="M12" i="15"/>
  <c r="K12" i="15"/>
  <c r="I12" i="15"/>
  <c r="O11" i="15"/>
  <c r="M11" i="15"/>
  <c r="K11" i="15"/>
  <c r="I11" i="15"/>
  <c r="N10" i="36"/>
  <c r="L10" i="36"/>
  <c r="J10" i="36"/>
  <c r="H24" i="36"/>
  <c r="N23" i="36"/>
  <c r="L23" i="36"/>
  <c r="J23" i="36"/>
  <c r="N22" i="36"/>
  <c r="L22" i="36"/>
  <c r="J22" i="36"/>
  <c r="N21" i="36"/>
  <c r="L21" i="36"/>
  <c r="J21" i="36"/>
  <c r="N20" i="36"/>
  <c r="L20" i="36"/>
  <c r="J20" i="36"/>
  <c r="N19" i="36"/>
  <c r="L19" i="36"/>
  <c r="J19" i="36"/>
  <c r="N14" i="36"/>
  <c r="J14" i="36"/>
  <c r="N13" i="36"/>
  <c r="L13" i="36"/>
  <c r="J13" i="36"/>
  <c r="N12" i="36"/>
  <c r="L12" i="36"/>
  <c r="J12" i="36"/>
  <c r="N10" i="35"/>
  <c r="L10" i="35"/>
  <c r="J10" i="35"/>
  <c r="H24" i="35"/>
  <c r="N23" i="35"/>
  <c r="L23" i="35"/>
  <c r="J23" i="35"/>
  <c r="N22" i="35"/>
  <c r="L22" i="35"/>
  <c r="J22" i="35"/>
  <c r="N21" i="35"/>
  <c r="L21" i="35"/>
  <c r="J21" i="35"/>
  <c r="N20" i="35"/>
  <c r="L20" i="35"/>
  <c r="J20" i="35"/>
  <c r="N19" i="35"/>
  <c r="L19" i="35"/>
  <c r="J19" i="35"/>
  <c r="N14" i="35"/>
  <c r="J14" i="35"/>
  <c r="N13" i="35"/>
  <c r="L13" i="35"/>
  <c r="J13" i="35"/>
  <c r="N12" i="35"/>
  <c r="L12" i="35"/>
  <c r="J12" i="35"/>
  <c r="N13" i="34"/>
  <c r="L13" i="34"/>
  <c r="J13" i="34"/>
  <c r="H14" i="36" l="1"/>
  <c r="N16" i="35"/>
  <c r="H12" i="36"/>
  <c r="H15" i="36"/>
  <c r="N16" i="36"/>
  <c r="L16" i="36"/>
  <c r="L25" i="36"/>
  <c r="H21" i="36"/>
  <c r="J25" i="36"/>
  <c r="H13" i="36"/>
  <c r="H22" i="36"/>
  <c r="N25" i="36"/>
  <c r="H10" i="36"/>
  <c r="J16" i="36"/>
  <c r="H14" i="35"/>
  <c r="H15" i="35"/>
  <c r="L25" i="35"/>
  <c r="J25" i="35"/>
  <c r="H22" i="35"/>
  <c r="H12" i="35"/>
  <c r="H21" i="35"/>
  <c r="H13" i="35"/>
  <c r="L16" i="35"/>
  <c r="N25" i="35"/>
  <c r="H10" i="35"/>
  <c r="J16" i="35"/>
  <c r="N27" i="35" l="1"/>
  <c r="N27" i="36"/>
  <c r="H25" i="36"/>
  <c r="L27" i="36"/>
  <c r="J27" i="36"/>
  <c r="H16" i="36"/>
  <c r="H25" i="35"/>
  <c r="J27" i="35"/>
  <c r="L27" i="35"/>
  <c r="H16" i="35"/>
  <c r="H27" i="35" l="1"/>
  <c r="H27" i="36"/>
  <c r="N12" i="34" l="1"/>
  <c r="L12" i="34"/>
  <c r="N10" i="34"/>
  <c r="L10" i="34"/>
  <c r="J10" i="34"/>
  <c r="J12" i="34"/>
  <c r="O19" i="15"/>
  <c r="M19" i="15"/>
  <c r="K19" i="15"/>
  <c r="I19" i="15"/>
  <c r="O18" i="15"/>
  <c r="M18" i="15"/>
  <c r="K18" i="15"/>
  <c r="I18" i="15"/>
  <c r="N22" i="34"/>
  <c r="L22" i="34"/>
  <c r="J22" i="34"/>
  <c r="N21" i="34"/>
  <c r="L21" i="34"/>
  <c r="J21" i="34"/>
  <c r="H24" i="34" l="1"/>
  <c r="N23" i="34"/>
  <c r="L23" i="34"/>
  <c r="J23" i="34"/>
  <c r="N20" i="34"/>
  <c r="L20" i="34"/>
  <c r="J20" i="34"/>
  <c r="N19" i="34"/>
  <c r="L19" i="34"/>
  <c r="J19" i="34"/>
  <c r="N14" i="34"/>
  <c r="J14" i="34"/>
  <c r="H21" i="34" l="1"/>
  <c r="N25" i="34"/>
  <c r="H13" i="34"/>
  <c r="H15" i="34"/>
  <c r="L25" i="34"/>
  <c r="H14" i="34"/>
  <c r="J25" i="34"/>
  <c r="H22" i="34"/>
  <c r="N16" i="34"/>
  <c r="L16" i="34"/>
  <c r="H12" i="34"/>
  <c r="J16" i="34"/>
  <c r="H10" i="34"/>
  <c r="H25" i="34" l="1"/>
  <c r="N27" i="34"/>
  <c r="L27" i="34"/>
  <c r="J27" i="34"/>
  <c r="H16" i="34"/>
  <c r="H27" i="34" l="1"/>
  <c r="G19" i="15"/>
  <c r="G18" i="15"/>
  <c r="O20" i="15" l="1"/>
  <c r="O17" i="15"/>
  <c r="O16" i="15"/>
  <c r="M20" i="15"/>
  <c r="M17" i="15"/>
  <c r="M16" i="15"/>
  <c r="K20" i="15"/>
  <c r="K17" i="15"/>
  <c r="K16" i="15"/>
  <c r="I20" i="15"/>
  <c r="I17" i="15"/>
  <c r="I16" i="15"/>
  <c r="G21" i="15" l="1"/>
  <c r="M22" i="15" l="1"/>
  <c r="O13" i="15"/>
  <c r="M13" i="15"/>
  <c r="K13" i="15"/>
  <c r="G12" i="15"/>
  <c r="I13" i="15"/>
  <c r="G11" i="15"/>
  <c r="G22" i="15"/>
  <c r="O22" i="15" l="1"/>
  <c r="O24" i="15" s="1"/>
  <c r="M24" i="15"/>
  <c r="I22" i="15"/>
  <c r="I24" i="15" s="1"/>
  <c r="G13" i="15"/>
  <c r="G24" i="15" s="1"/>
  <c r="K22" i="15"/>
  <c r="K24" i="15" s="1"/>
</calcChain>
</file>

<file path=xl/sharedStrings.xml><?xml version="1.0" encoding="utf-8"?>
<sst xmlns="http://schemas.openxmlformats.org/spreadsheetml/2006/main" count="199" uniqueCount="89">
  <si>
    <t>Fees:</t>
  </si>
  <si>
    <r>
      <t>Tuition</t>
    </r>
    <r>
      <rPr>
        <vertAlign val="superscript"/>
        <sz val="11"/>
        <color theme="1"/>
        <rFont val="Calibri"/>
        <family val="2"/>
        <scheme val="minor"/>
      </rPr>
      <t>1</t>
    </r>
  </si>
  <si>
    <r>
      <t>Technology Fee</t>
    </r>
    <r>
      <rPr>
        <vertAlign val="superscript"/>
        <sz val="11"/>
        <color theme="1"/>
        <rFont val="Calibri"/>
        <family val="2"/>
        <scheme val="minor"/>
      </rPr>
      <t>2</t>
    </r>
  </si>
  <si>
    <t>ANNUAL</t>
  </si>
  <si>
    <t>Yes</t>
  </si>
  <si>
    <t>No</t>
  </si>
  <si>
    <t>Total Charges:</t>
  </si>
  <si>
    <t>CHARGES</t>
  </si>
  <si>
    <t>Outside Scholarship(s)</t>
  </si>
  <si>
    <t>Other Assistance</t>
  </si>
  <si>
    <t>Total Credits:</t>
  </si>
  <si>
    <t>CREDITS</t>
  </si>
  <si>
    <t>Estimated Balance:</t>
  </si>
  <si>
    <t>Notes:</t>
  </si>
  <si>
    <r>
      <t xml:space="preserve">Financial Aid | University Hall 255 | Ph: 303-871-4020 | Fax: 303-871-2341 | </t>
    </r>
    <r>
      <rPr>
        <u/>
        <sz val="11"/>
        <color rgb="FF98002E"/>
        <rFont val="Calibri"/>
        <family val="2"/>
        <scheme val="minor"/>
      </rPr>
      <t>finaid@du.edu</t>
    </r>
    <r>
      <rPr>
        <sz val="11"/>
        <color theme="1"/>
        <rFont val="Calibri"/>
        <family val="2"/>
        <scheme val="minor"/>
      </rPr>
      <t xml:space="preserve"> | </t>
    </r>
    <r>
      <rPr>
        <u/>
        <sz val="11"/>
        <color rgb="FF98002E"/>
        <rFont val="Calibri"/>
        <family val="2"/>
        <scheme val="minor"/>
      </rPr>
      <t>www.du.edu/financialaid</t>
    </r>
  </si>
  <si>
    <t>How many credits do you plan to take each quarter?</t>
  </si>
  <si>
    <t>DU Scholarships and Grants</t>
  </si>
  <si>
    <t>Student Fees</t>
  </si>
  <si>
    <r>
      <rPr>
        <vertAlign val="superscript"/>
        <sz val="11"/>
        <color theme="1"/>
        <rFont val="Calibri"/>
        <family val="2"/>
        <scheme val="minor"/>
      </rPr>
      <t>2</t>
    </r>
    <r>
      <rPr>
        <sz val="11"/>
        <color theme="1"/>
        <rFont val="Calibri"/>
        <family val="2"/>
        <scheme val="minor"/>
      </rPr>
      <t>Technology fees are $4 per credit. If you will be enrolled in less than 4 credits, you will not be eligible for federal student loans.</t>
    </r>
  </si>
  <si>
    <r>
      <t>Direct Unsubsidized Loan</t>
    </r>
    <r>
      <rPr>
        <vertAlign val="superscript"/>
        <sz val="11"/>
        <color theme="1"/>
        <rFont val="Calibri"/>
        <family val="2"/>
        <scheme val="minor"/>
      </rPr>
      <t>3</t>
    </r>
  </si>
  <si>
    <r>
      <t>Direct Graduate PLUS Loan</t>
    </r>
    <r>
      <rPr>
        <vertAlign val="superscript"/>
        <sz val="11"/>
        <color theme="1"/>
        <rFont val="Calibri"/>
        <family val="2"/>
        <scheme val="minor"/>
      </rPr>
      <t>4</t>
    </r>
  </si>
  <si>
    <t>Health Insurance</t>
  </si>
  <si>
    <t>Other Annual Assistance</t>
  </si>
  <si>
    <t>Payment(s) Made and/or Employer Reimbursements</t>
  </si>
  <si>
    <t>4 credits</t>
  </si>
  <si>
    <t>5 credits</t>
  </si>
  <si>
    <t>6 credits</t>
  </si>
  <si>
    <t>7 credits</t>
  </si>
  <si>
    <t>8 credits</t>
  </si>
  <si>
    <t>9 credits</t>
  </si>
  <si>
    <t>10 credits</t>
  </si>
  <si>
    <t>11 credits</t>
  </si>
  <si>
    <t>12 credits</t>
  </si>
  <si>
    <t>13 credits</t>
  </si>
  <si>
    <t>14 credits</t>
  </si>
  <si>
    <t>15 credits</t>
  </si>
  <si>
    <t>16 credits</t>
  </si>
  <si>
    <t>17 credits</t>
  </si>
  <si>
    <t>18 credits</t>
  </si>
  <si>
    <t>19 credits</t>
  </si>
  <si>
    <t>20 credits</t>
  </si>
  <si>
    <t>not enrolled</t>
  </si>
  <si>
    <t>How many credits will you take each quarter?</t>
  </si>
  <si>
    <t>21 credits</t>
  </si>
  <si>
    <t>22 credits</t>
  </si>
  <si>
    <t>Will you enroll in DU's Health Insurance Plan?</t>
  </si>
  <si>
    <t>Technology fees are $4 per credit. If you will be enrolled in less than 4 credits, you will not be eligible for federal student loans.</t>
  </si>
  <si>
    <t>Choose Your Program:</t>
  </si>
  <si>
    <t>All other programs</t>
  </si>
  <si>
    <t>The Direct Graduate PLUS loan is a supplemental, credit-based loan that you must apply for separately through StudentAid.gov. This loan 
  will not appear on your initial financial aid offer and is not guaranteed financing, since you must be approved by the Department of 
  Education before you can borrow it. This worksheet automatically deducts the 4.228% origination fee from the total amount.</t>
  </si>
  <si>
    <r>
      <rPr>
        <vertAlign val="superscript"/>
        <sz val="11"/>
        <color theme="1"/>
        <rFont val="Calibri"/>
        <family val="2"/>
        <scheme val="minor"/>
      </rPr>
      <t>4</t>
    </r>
    <r>
      <rPr>
        <sz val="11"/>
        <color theme="1"/>
        <rFont val="Calibri"/>
        <family val="2"/>
        <scheme val="minor"/>
      </rPr>
      <t>The Direct Graduate PLUS loan is a supplemental, credit-based loan that you must apply for separately through StudentAid.gov. This loan 
  will not appear on your initial financial aid offer and is not guaranteed financing, since you must be approved by the Department of 
  Education before you can borrow it. This worksheet automatically deducts the 4.228% origination fee from the total amount.</t>
    </r>
  </si>
  <si>
    <t>Tuition for the 2023-2024 academic year is $1,612 per credit.</t>
  </si>
  <si>
    <t>Tuition for the 2023-2024 academic year is $806 per credit.</t>
  </si>
  <si>
    <t>Tuition for the 2023-2024 academic year is $1,178 per credit.</t>
  </si>
  <si>
    <t>Tuition for the 2023-2024 academic year is $1,612 per credit. If enrolled in 12-18 credits, tuition will be charged a flat rate of $19,344.</t>
  </si>
  <si>
    <t>select</t>
  </si>
  <si>
    <t>Fees</t>
  </si>
  <si>
    <r>
      <t>DU Health &amp; Counseling Fee</t>
    </r>
    <r>
      <rPr>
        <u/>
        <vertAlign val="superscript"/>
        <sz val="11"/>
        <color theme="10"/>
        <rFont val="Calibri"/>
        <family val="2"/>
        <scheme val="minor"/>
      </rPr>
      <t>3</t>
    </r>
  </si>
  <si>
    <r>
      <t>Direct Unsubsidized Loan</t>
    </r>
    <r>
      <rPr>
        <vertAlign val="superscript"/>
        <sz val="11"/>
        <color theme="1"/>
        <rFont val="Calibri"/>
        <family val="2"/>
        <scheme val="minor"/>
      </rPr>
      <t>4</t>
    </r>
  </si>
  <si>
    <r>
      <t>Direct Graduate PLUS Loan</t>
    </r>
    <r>
      <rPr>
        <vertAlign val="superscript"/>
        <sz val="11"/>
        <color theme="1"/>
        <rFont val="Calibri"/>
        <family val="2"/>
        <scheme val="minor"/>
      </rPr>
      <t>5</t>
    </r>
  </si>
  <si>
    <t>This worksheet automatically deducts the 1.057% origination fee from the Direct Unsubsidized loan amount. Most students who submit the FAFSA are eligible to borrow up to $20,500 in an unsubsidized loan per academic year.</t>
  </si>
  <si>
    <r>
      <rPr>
        <vertAlign val="superscript"/>
        <sz val="11"/>
        <color theme="1"/>
        <rFont val="Calibri"/>
        <family val="2"/>
        <scheme val="minor"/>
      </rPr>
      <t>3</t>
    </r>
    <r>
      <rPr>
        <sz val="11"/>
        <color theme="1"/>
        <rFont val="Calibri"/>
        <family val="2"/>
        <scheme val="minor"/>
      </rPr>
      <t>This worksheet automatically deducts the 1.057% origination fee from the Direct Unsubsidized loan amount. Most students who submit the FAFSA are
  eligible to borrow up to $20,500 in an unsubsidized loan per academic year.</t>
    </r>
  </si>
  <si>
    <t>Online Programs</t>
  </si>
  <si>
    <t>MS in Cyber Security</t>
  </si>
  <si>
    <t>MS in Data Science - On-Campus</t>
  </si>
  <si>
    <t>$1,718/cr</t>
  </si>
  <si>
    <t>$1,256/cr</t>
  </si>
  <si>
    <t>$859/cr</t>
  </si>
  <si>
    <t>2025-26 Estimated Billing Worksheet
MS in Cyber Security</t>
  </si>
  <si>
    <t>FALL 2025:</t>
  </si>
  <si>
    <t>WINTER 2026:</t>
  </si>
  <si>
    <t>SPRING 2026:</t>
  </si>
  <si>
    <t>FALL 2025</t>
  </si>
  <si>
    <t>WINTER 2026</t>
  </si>
  <si>
    <t>SPRING 2026</t>
  </si>
  <si>
    <t>Tuition for the 2025-2026 academic year is $859 per credit.</t>
  </si>
  <si>
    <t>2025-26 Estimated Billing Worksheet
MS in Data Science (on-campus)</t>
  </si>
  <si>
    <t>Tuition for the 2025-2026 academic year is $1,256 per credit.</t>
  </si>
  <si>
    <t>2025-26 Estimated Billing Worksheet
Most Programs</t>
  </si>
  <si>
    <t>Tuition for the 2025-2026 academic year is $1,718 per credit.</t>
  </si>
  <si>
    <t>2025-26 Estimated Billing Worksheet
Online Programs</t>
  </si>
  <si>
    <t>SUMMER 2026:</t>
  </si>
  <si>
    <t>SUMMER 2026</t>
  </si>
  <si>
    <r>
      <t>1</t>
    </r>
    <r>
      <rPr>
        <sz val="11"/>
        <color theme="1"/>
        <rFont val="Calibri"/>
        <family val="2"/>
        <scheme val="minor"/>
      </rPr>
      <t>Tuition for the 2025-2026 academic year is $859 per credit.</t>
    </r>
  </si>
  <si>
    <r>
      <t xml:space="preserve">2025-26 Estimated Billing Worksheets
</t>
    </r>
    <r>
      <rPr>
        <b/>
        <i/>
        <sz val="16"/>
        <color theme="1"/>
        <rFont val="Calibri"/>
        <family val="2"/>
        <scheme val="minor"/>
      </rPr>
      <t>Ritchie School of Engineering &amp; Computer Science</t>
    </r>
  </si>
  <si>
    <r>
      <t>These worksheets are designed to help you estimate your invoices throughout the academic year.</t>
    </r>
    <r>
      <rPr>
        <b/>
        <sz val="11"/>
        <color rgb="FF000000"/>
        <rFont val="Calibri"/>
        <family val="2"/>
        <scheme val="minor"/>
      </rPr>
      <t xml:space="preserve"> In order to complete a worksheet, you'll need a copy of your most recent 2025-2026 financial aid offer.</t>
    </r>
    <r>
      <rPr>
        <sz val="11"/>
        <color rgb="FF000000"/>
        <rFont val="Calibri"/>
        <family val="2"/>
        <scheme val="minor"/>
      </rPr>
      <t xml:space="preserve"> Fill in the sections highlighted in blue. You will likely not have all the types of aid listed in the "credits" section. Please remember that these worksheets are only a planning tool. Additional, unanticipated charges or credits may be included on your actual bill. </t>
    </r>
  </si>
  <si>
    <r>
      <t xml:space="preserve">The Health and Counseling Fee is $250 per quarter, and is </t>
    </r>
    <r>
      <rPr>
        <i/>
        <sz val="11"/>
        <color theme="1"/>
        <rFont val="Calibri"/>
        <family val="2"/>
        <scheme val="minor"/>
      </rPr>
      <t>mandatory</t>
    </r>
    <r>
      <rPr>
        <sz val="11"/>
        <color theme="1"/>
        <rFont val="Calibri"/>
        <family val="2"/>
        <scheme val="minor"/>
      </rPr>
      <t xml:space="preserve"> for students who started their program in fall of 2024 or later and are enrolled
in 8 or more credits. Students who started prior to fall 2024 can waive this fee (just delete the amount in these fields if you plan to waive it).</t>
    </r>
  </si>
  <si>
    <r>
      <t xml:space="preserve">The Health and Counseling Fee is $250 per quarter, and is </t>
    </r>
    <r>
      <rPr>
        <i/>
        <sz val="11"/>
        <color theme="1"/>
        <rFont val="Calibri"/>
        <family val="2"/>
        <scheme val="minor"/>
      </rPr>
      <t>mandatory</t>
    </r>
    <r>
      <rPr>
        <sz val="11"/>
        <color theme="1"/>
        <rFont val="Calibri"/>
        <family val="2"/>
        <scheme val="minor"/>
      </rPr>
      <t xml:space="preserve"> fo students who started their program in fall 2024 or later and are enrolled
in 8 or more credits. Students who started prior to fall 2024 can waive this fee (just delete the amount in these fields if you plan to waive it).</t>
    </r>
  </si>
  <si>
    <r>
      <t xml:space="preserve">The Health and Counseling Fee is $250 per quarter, and is </t>
    </r>
    <r>
      <rPr>
        <i/>
        <sz val="11"/>
        <color theme="1"/>
        <rFont val="Calibri"/>
        <family val="2"/>
        <scheme val="minor"/>
      </rPr>
      <t>mandatory</t>
    </r>
    <r>
      <rPr>
        <sz val="11"/>
        <color theme="1"/>
        <rFont val="Calibri"/>
        <family val="2"/>
        <scheme val="minor"/>
      </rPr>
      <t xml:space="preserve"> for students who started their program in fall 2024 or later and are enrolled
in 8 or more credits. Students who started prior to fall 2024 can waive this fee (just delete the amount in these fields if you plan to waive it).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</si>
</sst>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0"/>
      <color rgb="FF000000"/>
      <name val="Calibri"/>
      <family val="2"/>
      <scheme val="minor"/>
    </font>
    <font>
      <vertAlign val="superscript"/>
      <sz val="11"/>
      <color theme="1"/>
      <name val="Calibri"/>
      <family val="2"/>
      <scheme val="minor"/>
    </font>
    <font>
      <b/>
      <i/>
      <sz val="14"/>
      <color rgb="FF98002E"/>
      <name val="Calibri"/>
      <family val="2"/>
      <scheme val="minor"/>
    </font>
    <font>
      <b/>
      <sz val="14"/>
      <color theme="1"/>
      <name val="Calibri"/>
      <family val="2"/>
      <scheme val="minor"/>
    </font>
    <font>
      <u/>
      <sz val="11"/>
      <color rgb="FF98002E"/>
      <name val="Calibri"/>
      <family val="2"/>
      <scheme val="minor"/>
    </font>
    <font>
      <b/>
      <i/>
      <sz val="16"/>
      <color theme="1"/>
      <name val="Calibri"/>
      <family val="2"/>
      <scheme val="minor"/>
    </font>
    <font>
      <b/>
      <sz val="12"/>
      <color theme="1"/>
      <name val="Calibri"/>
      <family val="2"/>
      <scheme val="minor"/>
    </font>
    <font>
      <sz val="11"/>
      <color rgb="FF000000"/>
      <name val="Calibri"/>
      <family val="2"/>
      <scheme val="minor"/>
    </font>
    <font>
      <b/>
      <sz val="11"/>
      <color rgb="FF000000"/>
      <name val="Calibri"/>
      <family val="2"/>
      <scheme val="minor"/>
    </font>
    <font>
      <u/>
      <sz val="11"/>
      <color theme="10"/>
      <name val="Calibri"/>
      <family val="2"/>
      <scheme val="minor"/>
    </font>
    <font>
      <b/>
      <i/>
      <u/>
      <sz val="14"/>
      <color theme="1"/>
      <name val="Calibri"/>
      <family val="2"/>
      <scheme val="minor"/>
    </font>
    <font>
      <u/>
      <vertAlign val="superscript"/>
      <sz val="11"/>
      <color theme="10"/>
      <name val="Calibri"/>
      <family val="2"/>
      <scheme val="minor"/>
    </font>
    <font>
      <i/>
      <sz val="11"/>
      <color theme="1"/>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4" tint="0.59996337778862885"/>
        <bgColor indexed="64"/>
      </patternFill>
    </fill>
  </fills>
  <borders count="12">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top style="double">
        <color auto="1"/>
      </top>
      <bottom style="double">
        <color auto="1"/>
      </bottom>
      <diagonal/>
    </border>
    <border>
      <left/>
      <right style="dashed">
        <color indexed="64"/>
      </right>
      <top/>
      <bottom/>
      <diagonal/>
    </border>
    <border>
      <left style="dotted">
        <color indexed="64"/>
      </left>
      <right style="dotted">
        <color indexed="64"/>
      </right>
      <top style="dotted">
        <color indexed="64"/>
      </top>
      <bottom style="thin">
        <color indexed="64"/>
      </bottom>
      <diagonal/>
    </border>
    <border>
      <left/>
      <right/>
      <top/>
      <bottom style="dashed">
        <color indexed="64"/>
      </bottom>
      <diagonal/>
    </border>
    <border>
      <left/>
      <right/>
      <top style="dashed">
        <color indexed="64"/>
      </top>
      <bottom style="thin">
        <color indexed="64"/>
      </bottom>
      <diagonal/>
    </border>
  </borders>
  <cellStyleXfs count="3">
    <xf numFmtId="0" fontId="0" fillId="0" borderId="0"/>
    <xf numFmtId="44" fontId="1" fillId="0" borderId="0" applyFont="0" applyFill="0" applyBorder="0" applyAlignment="0" applyProtection="0"/>
    <xf numFmtId="0" fontId="13" fillId="0" borderId="0" applyNumberFormat="0" applyFill="0" applyBorder="0" applyAlignment="0" applyProtection="0"/>
  </cellStyleXfs>
  <cellXfs count="74">
    <xf numFmtId="0" fontId="0" fillId="0" borderId="0" xfId="0"/>
    <xf numFmtId="0" fontId="2" fillId="0" borderId="2" xfId="0" applyFont="1" applyBorder="1"/>
    <xf numFmtId="0" fontId="0" fillId="0" borderId="2" xfId="0" applyBorder="1"/>
    <xf numFmtId="0" fontId="0" fillId="0" borderId="2" xfId="0" applyBorder="1" applyAlignment="1">
      <alignment horizontal="center"/>
    </xf>
    <xf numFmtId="44" fontId="2" fillId="0" borderId="2" xfId="1" applyFont="1" applyBorder="1" applyAlignment="1">
      <alignment horizontal="center"/>
    </xf>
    <xf numFmtId="44" fontId="0" fillId="0" borderId="0" xfId="1" applyFont="1"/>
    <xf numFmtId="0" fontId="6" fillId="0" borderId="0" xfId="0" applyFont="1" applyAlignment="1">
      <alignment horizontal="left"/>
    </xf>
    <xf numFmtId="0" fontId="2" fillId="0" borderId="0" xfId="0" applyFont="1"/>
    <xf numFmtId="44" fontId="2" fillId="0" borderId="0" xfId="1" applyFont="1"/>
    <xf numFmtId="0" fontId="0" fillId="3" borderId="0" xfId="0" applyFill="1" applyAlignment="1">
      <alignment horizontal="left"/>
    </xf>
    <xf numFmtId="0" fontId="0" fillId="3" borderId="0" xfId="0" applyFill="1"/>
    <xf numFmtId="44" fontId="0" fillId="3" borderId="0" xfId="1" applyFont="1" applyFill="1"/>
    <xf numFmtId="0" fontId="0" fillId="3" borderId="0" xfId="0" applyFill="1" applyAlignment="1">
      <alignment horizontal="left" indent="2"/>
    </xf>
    <xf numFmtId="0" fontId="0" fillId="0" borderId="7" xfId="0" applyBorder="1"/>
    <xf numFmtId="0" fontId="7" fillId="0" borderId="7" xfId="0" applyFont="1" applyBorder="1"/>
    <xf numFmtId="44" fontId="0" fillId="2" borderId="6" xfId="1" applyFont="1" applyFill="1" applyBorder="1" applyProtection="1">
      <protection locked="0"/>
    </xf>
    <xf numFmtId="44" fontId="0" fillId="2" borderId="4" xfId="1" applyFont="1" applyFill="1" applyBorder="1" applyProtection="1">
      <protection locked="0"/>
    </xf>
    <xf numFmtId="44" fontId="0" fillId="2" borderId="4" xfId="0" applyNumberFormat="1" applyFill="1" applyBorder="1" applyProtection="1">
      <protection locked="0"/>
    </xf>
    <xf numFmtId="44" fontId="0" fillId="2" borderId="5" xfId="1" applyFont="1" applyFill="1" applyBorder="1" applyProtection="1">
      <protection locked="0"/>
    </xf>
    <xf numFmtId="0" fontId="0" fillId="0" borderId="1" xfId="0" applyBorder="1"/>
    <xf numFmtId="0" fontId="3" fillId="0" borderId="1" xfId="0" applyFont="1" applyBorder="1" applyAlignment="1">
      <alignment horizontal="right" vertical="top" wrapText="1"/>
    </xf>
    <xf numFmtId="0" fontId="3" fillId="0" borderId="1" xfId="0" applyFont="1" applyBorder="1" applyAlignment="1">
      <alignment horizontal="right" vertical="top"/>
    </xf>
    <xf numFmtId="0" fontId="4" fillId="0" borderId="0" xfId="0" applyFont="1" applyAlignment="1" applyProtection="1">
      <alignment horizontal="center" wrapText="1"/>
      <protection locked="0"/>
    </xf>
    <xf numFmtId="44" fontId="10" fillId="0" borderId="7" xfId="1" applyFont="1" applyBorder="1"/>
    <xf numFmtId="0" fontId="10" fillId="0" borderId="7" xfId="0" applyFont="1" applyBorder="1"/>
    <xf numFmtId="0" fontId="0" fillId="3" borderId="3" xfId="0" applyFill="1" applyBorder="1"/>
    <xf numFmtId="44" fontId="0" fillId="3" borderId="3" xfId="1" applyFont="1" applyFill="1" applyBorder="1"/>
    <xf numFmtId="0" fontId="4" fillId="0" borderId="0" xfId="0" applyFont="1" applyAlignment="1">
      <alignment horizontal="left" wrapText="1" indent="1"/>
    </xf>
    <xf numFmtId="44" fontId="0" fillId="3" borderId="0" xfId="1" applyFont="1" applyFill="1" applyBorder="1"/>
    <xf numFmtId="0" fontId="0" fillId="2" borderId="4" xfId="0" applyFill="1" applyBorder="1" applyProtection="1">
      <protection locked="0"/>
    </xf>
    <xf numFmtId="0" fontId="0" fillId="0" borderId="3" xfId="0" applyBorder="1"/>
    <xf numFmtId="44" fontId="0" fillId="0" borderId="3" xfId="1" applyFont="1" applyFill="1" applyBorder="1"/>
    <xf numFmtId="44" fontId="0" fillId="3" borderId="3" xfId="1" applyFont="1" applyFill="1" applyBorder="1" applyProtection="1">
      <protection locked="0"/>
    </xf>
    <xf numFmtId="44" fontId="0" fillId="0" borderId="0" xfId="1" applyFont="1" applyBorder="1"/>
    <xf numFmtId="0" fontId="0" fillId="0" borderId="0" xfId="0" applyAlignment="1">
      <alignment horizontal="left"/>
    </xf>
    <xf numFmtId="44" fontId="0" fillId="0" borderId="0" xfId="1" applyFont="1" applyFill="1" applyBorder="1"/>
    <xf numFmtId="0" fontId="0" fillId="0" borderId="0" xfId="0" applyAlignment="1">
      <alignment horizontal="left" indent="2"/>
    </xf>
    <xf numFmtId="0" fontId="2" fillId="0" borderId="1" xfId="0" applyFont="1" applyBorder="1"/>
    <xf numFmtId="44" fontId="2" fillId="0" borderId="1" xfId="1" applyFont="1" applyBorder="1"/>
    <xf numFmtId="0" fontId="14" fillId="0" borderId="0" xfId="0" applyFont="1" applyAlignment="1">
      <alignment horizontal="left" vertical="top" indent="3"/>
    </xf>
    <xf numFmtId="0" fontId="13" fillId="0" borderId="0" xfId="2" applyAlignment="1" applyProtection="1">
      <alignment horizontal="left" indent="5"/>
      <protection locked="0"/>
    </xf>
    <xf numFmtId="0" fontId="0" fillId="0" borderId="0" xfId="0" applyProtection="1">
      <protection locked="0"/>
    </xf>
    <xf numFmtId="0" fontId="4" fillId="2" borderId="4" xfId="0" applyFont="1" applyFill="1" applyBorder="1" applyAlignment="1" applyProtection="1">
      <alignment wrapText="1"/>
      <protection locked="0"/>
    </xf>
    <xf numFmtId="44" fontId="2" fillId="0" borderId="0" xfId="1" applyFont="1" applyAlignment="1">
      <alignment horizontal="center"/>
    </xf>
    <xf numFmtId="0" fontId="5" fillId="0" borderId="0" xfId="0" applyFont="1" applyAlignment="1">
      <alignment horizontal="right" vertical="top"/>
    </xf>
    <xf numFmtId="0" fontId="5" fillId="0" borderId="0" xfId="0" applyFont="1" applyAlignment="1">
      <alignment horizontal="right"/>
    </xf>
    <xf numFmtId="0" fontId="0" fillId="0" borderId="0" xfId="0" applyAlignment="1">
      <alignment wrapText="1"/>
    </xf>
    <xf numFmtId="0" fontId="5" fillId="0" borderId="0" xfId="0" applyFont="1"/>
    <xf numFmtId="44" fontId="0" fillId="2" borderId="9" xfId="1" applyFont="1" applyFill="1" applyBorder="1" applyProtection="1">
      <protection locked="0"/>
    </xf>
    <xf numFmtId="0" fontId="11" fillId="2" borderId="6" xfId="0" applyFont="1" applyFill="1" applyBorder="1" applyAlignment="1" applyProtection="1">
      <alignment horizontal="center" vertical="center"/>
      <protection locked="0"/>
    </xf>
    <xf numFmtId="44" fontId="0" fillId="2" borderId="6" xfId="1" applyFont="1"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44" fontId="2" fillId="0" borderId="10" xfId="1" applyFont="1" applyBorder="1" applyAlignment="1">
      <alignment horizontal="center"/>
    </xf>
    <xf numFmtId="3" fontId="2" fillId="0" borderId="0" xfId="0" applyNumberFormat="1" applyFont="1" applyAlignment="1">
      <alignment horizontal="left"/>
    </xf>
    <xf numFmtId="0" fontId="2" fillId="0" borderId="0" xfId="0" applyFont="1" applyAlignment="1">
      <alignment horizontal="left"/>
    </xf>
    <xf numFmtId="44" fontId="0" fillId="3" borderId="3" xfId="1" applyFont="1" applyFill="1" applyBorder="1" applyProtection="1"/>
    <xf numFmtId="0" fontId="2" fillId="0" borderId="0" xfId="0" applyFont="1" applyAlignment="1">
      <alignment horizontal="right" vertical="top"/>
    </xf>
    <xf numFmtId="0" fontId="2" fillId="0" borderId="0" xfId="0" applyFont="1" applyAlignment="1">
      <alignment horizontal="right"/>
    </xf>
    <xf numFmtId="44" fontId="0" fillId="4" borderId="9" xfId="1" applyFont="1" applyFill="1" applyBorder="1" applyProtection="1">
      <protection locked="0"/>
    </xf>
    <xf numFmtId="0" fontId="0" fillId="0" borderId="11" xfId="0" applyBorder="1"/>
    <xf numFmtId="0" fontId="0" fillId="0" borderId="1" xfId="0" applyBorder="1" applyAlignment="1">
      <alignment horizontal="center"/>
    </xf>
    <xf numFmtId="0" fontId="3" fillId="0" borderId="3" xfId="0" applyFont="1" applyBorder="1" applyAlignment="1">
      <alignment horizontal="right" wrapText="1"/>
    </xf>
    <xf numFmtId="0" fontId="3" fillId="0" borderId="3" xfId="0" applyFont="1" applyBorder="1" applyAlignment="1">
      <alignment horizontal="right"/>
    </xf>
    <xf numFmtId="0" fontId="11" fillId="0" borderId="0" xfId="0" applyFont="1" applyAlignment="1">
      <alignment horizontal="left" vertical="center" wrapText="1"/>
    </xf>
    <xf numFmtId="0" fontId="0" fillId="0" borderId="0" xfId="0" applyAlignment="1">
      <alignment horizontal="left"/>
    </xf>
    <xf numFmtId="0" fontId="0" fillId="3" borderId="3" xfId="0" applyFill="1" applyBorder="1" applyAlignment="1">
      <alignment horizontal="left"/>
    </xf>
    <xf numFmtId="0" fontId="0" fillId="0" borderId="0" xfId="0" applyAlignment="1">
      <alignment horizontal="left" wrapText="1"/>
    </xf>
    <xf numFmtId="0" fontId="3" fillId="0" borderId="0" xfId="0" applyFont="1" applyAlignment="1">
      <alignment horizontal="right" vertical="top" wrapText="1"/>
    </xf>
    <xf numFmtId="0" fontId="3" fillId="0" borderId="0" xfId="0" applyFont="1" applyAlignment="1">
      <alignment horizontal="right" vertical="top"/>
    </xf>
    <xf numFmtId="0" fontId="0" fillId="3" borderId="0" xfId="0" applyFill="1" applyAlignment="1">
      <alignment horizontal="center"/>
    </xf>
    <xf numFmtId="0" fontId="13" fillId="3" borderId="0" xfId="2" applyFill="1" applyBorder="1" applyAlignment="1">
      <alignment horizontal="left"/>
    </xf>
    <xf numFmtId="0" fontId="13" fillId="3" borderId="8" xfId="2" applyFill="1" applyBorder="1" applyAlignment="1">
      <alignment horizontal="left"/>
    </xf>
    <xf numFmtId="0" fontId="13" fillId="0" borderId="3" xfId="2" applyFill="1" applyBorder="1" applyAlignment="1">
      <alignment horizontal="left"/>
    </xf>
    <xf numFmtId="0" fontId="5" fillId="0" borderId="0" xfId="0" applyFont="1" applyAlignment="1">
      <alignment horizontal="left" wrapText="1"/>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98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104760</xdr:rowOff>
    </xdr:from>
    <xdr:to>
      <xdr:col>1</xdr:col>
      <xdr:colOff>1973593</xdr:colOff>
      <xdr:row>1</xdr:row>
      <xdr:rowOff>561975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973593" cy="4572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104760</xdr:rowOff>
    </xdr:from>
    <xdr:ext cx="1971675" cy="456771"/>
    <xdr:pic>
      <xdr:nvPicPr>
        <xdr:cNvPr id="3" name="Picture 2">
          <a:extLst>
            <a:ext uri="{FF2B5EF4-FFF2-40B4-BE49-F238E27FC236}">
              <a16:creationId xmlns:a16="http://schemas.microsoft.com/office/drawing/2014/main" id="{833FB9F0-3738-6546-B053-EF2399D2B3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971675" cy="45677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104760</xdr:rowOff>
    </xdr:from>
    <xdr:ext cx="1971675" cy="456771"/>
    <xdr:pic>
      <xdr:nvPicPr>
        <xdr:cNvPr id="2" name="Picture 1">
          <a:extLst>
            <a:ext uri="{FF2B5EF4-FFF2-40B4-BE49-F238E27FC236}">
              <a16:creationId xmlns:a16="http://schemas.microsoft.com/office/drawing/2014/main" id="{BAA97A05-A96F-4516-8AFE-EE6FEE284E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971675" cy="45677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104760</xdr:rowOff>
    </xdr:from>
    <xdr:ext cx="1971675" cy="456771"/>
    <xdr:pic>
      <xdr:nvPicPr>
        <xdr:cNvPr id="2" name="Picture 1">
          <a:extLst>
            <a:ext uri="{FF2B5EF4-FFF2-40B4-BE49-F238E27FC236}">
              <a16:creationId xmlns:a16="http://schemas.microsoft.com/office/drawing/2014/main" id="{B8A97F29-2266-4EE0-A56B-BB16038112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971675" cy="45677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276224</xdr:colOff>
      <xdr:row>1</xdr:row>
      <xdr:rowOff>108070</xdr:rowOff>
    </xdr:from>
    <xdr:to>
      <xdr:col>3</xdr:col>
      <xdr:colOff>737090</xdr:colOff>
      <xdr:row>1</xdr:row>
      <xdr:rowOff>552450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4" y="327145"/>
          <a:ext cx="1918191" cy="4443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6"/>
  <sheetViews>
    <sheetView showGridLines="0" showRowColHeaders="0" tabSelected="1" showRuler="0" zoomScaleNormal="100" workbookViewId="0">
      <selection activeCell="B6" sqref="B6"/>
    </sheetView>
  </sheetViews>
  <sheetFormatPr defaultColWidth="8.85546875" defaultRowHeight="15" x14ac:dyDescent="0.25"/>
  <cols>
    <col min="1" max="1" width="4.140625" customWidth="1"/>
    <col min="2" max="2" width="74.85546875" customWidth="1"/>
    <col min="3" max="3" width="12.85546875" style="5" customWidth="1"/>
    <col min="4" max="4" width="26.42578125" customWidth="1"/>
  </cols>
  <sheetData>
    <row r="1" spans="1:4" ht="17.25" customHeight="1" x14ac:dyDescent="0.25">
      <c r="A1" s="41"/>
    </row>
    <row r="2" spans="1:4" ht="47.25" customHeight="1" x14ac:dyDescent="0.35">
      <c r="B2" s="61" t="s">
        <v>84</v>
      </c>
      <c r="C2" s="62"/>
      <c r="D2" s="62"/>
    </row>
    <row r="3" spans="1:4" ht="8.25" customHeight="1" x14ac:dyDescent="0.25">
      <c r="B3" s="19"/>
      <c r="C3" s="21"/>
      <c r="D3" s="21"/>
    </row>
    <row r="4" spans="1:4" ht="66.75" customHeight="1" x14ac:dyDescent="0.25">
      <c r="B4" s="63" t="s">
        <v>85</v>
      </c>
      <c r="C4" s="63"/>
      <c r="D4" s="63"/>
    </row>
    <row r="5" spans="1:4" ht="21.75" customHeight="1" x14ac:dyDescent="0.25">
      <c r="C5"/>
    </row>
    <row r="6" spans="1:4" ht="27" customHeight="1" x14ac:dyDescent="0.25">
      <c r="B6" s="39" t="s">
        <v>47</v>
      </c>
      <c r="C6"/>
    </row>
    <row r="7" spans="1:4" x14ac:dyDescent="0.25">
      <c r="B7" s="40" t="s">
        <v>63</v>
      </c>
    </row>
    <row r="8" spans="1:4" x14ac:dyDescent="0.25">
      <c r="B8" s="40" t="s">
        <v>64</v>
      </c>
    </row>
    <row r="9" spans="1:4" x14ac:dyDescent="0.25">
      <c r="B9" s="40" t="s">
        <v>62</v>
      </c>
    </row>
    <row r="10" spans="1:4" x14ac:dyDescent="0.25">
      <c r="B10" s="40" t="s">
        <v>48</v>
      </c>
    </row>
    <row r="16" spans="1:4" x14ac:dyDescent="0.25">
      <c r="B16" s="60" t="s">
        <v>14</v>
      </c>
      <c r="C16" s="60"/>
      <c r="D16" s="60"/>
    </row>
  </sheetData>
  <sheetProtection selectLockedCells="1"/>
  <mergeCells count="3">
    <mergeCell ref="B16:D16"/>
    <mergeCell ref="B2:D2"/>
    <mergeCell ref="B4:D4"/>
  </mergeCells>
  <hyperlinks>
    <hyperlink ref="B8" location="'Data Sci'!A1" display="Data Science - On-Campus Program" xr:uid="{00000000-0004-0000-0000-000000000000}"/>
    <hyperlink ref="B9" location="Online!A1" display="Online Programs" xr:uid="{00000000-0004-0000-0000-000001000000}"/>
    <hyperlink ref="B10" location="'All Other'!A1" display="All other programs" xr:uid="{00000000-0004-0000-0000-000002000000}"/>
    <hyperlink ref="B7" location="'Cyber Sec.'!A1" display="Cyber Security Program" xr:uid="{00000000-0004-0000-0000-000003000000}"/>
  </hyperlinks>
  <pageMargins left="0.5" right="0.5" top="0.5" bottom="0.5" header="0.3" footer="0.3"/>
  <pageSetup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37"/>
  <sheetViews>
    <sheetView showGridLines="0" showRowColHeaders="0" showRuler="0" zoomScaleNormal="100" workbookViewId="0">
      <selection activeCell="J6" sqref="J6"/>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H2" s="67" t="s">
        <v>68</v>
      </c>
      <c r="I2" s="68"/>
      <c r="J2" s="68"/>
      <c r="K2" s="68"/>
      <c r="L2" s="68"/>
      <c r="M2" s="68"/>
      <c r="N2" s="68"/>
      <c r="O2" s="68"/>
    </row>
    <row r="3" spans="2:15" ht="8.25" customHeight="1" x14ac:dyDescent="0.25">
      <c r="B3" s="19"/>
      <c r="C3" s="19"/>
      <c r="D3" s="19"/>
      <c r="E3" s="19"/>
      <c r="F3" s="19"/>
      <c r="G3" s="19"/>
      <c r="H3" s="20"/>
      <c r="I3" s="21"/>
      <c r="J3" s="21"/>
      <c r="K3" s="21"/>
      <c r="L3" s="21"/>
      <c r="M3" s="21"/>
      <c r="N3" s="21"/>
      <c r="O3" s="21"/>
    </row>
    <row r="4" spans="2:15" ht="15.75" customHeight="1" x14ac:dyDescent="0.25">
      <c r="J4" s="43"/>
      <c r="L4" s="43"/>
      <c r="N4" s="43"/>
    </row>
    <row r="5" spans="2:15" ht="15.75" customHeight="1" x14ac:dyDescent="0.25">
      <c r="J5" s="43" t="s">
        <v>69</v>
      </c>
      <c r="L5" s="43" t="s">
        <v>70</v>
      </c>
      <c r="N5" s="43" t="s">
        <v>71</v>
      </c>
    </row>
    <row r="6" spans="2:15" ht="18" customHeight="1" x14ac:dyDescent="0.3">
      <c r="D6" s="6" t="s">
        <v>15</v>
      </c>
      <c r="E6" s="27"/>
      <c r="F6" s="27"/>
      <c r="G6" s="27"/>
      <c r="H6" s="27"/>
      <c r="I6" s="27"/>
      <c r="J6" s="42" t="s">
        <v>55</v>
      </c>
      <c r="L6" s="42" t="s">
        <v>55</v>
      </c>
      <c r="M6" s="22"/>
      <c r="N6" s="42" t="s">
        <v>55</v>
      </c>
      <c r="O6" s="27"/>
    </row>
    <row r="7" spans="2:15" ht="6" customHeight="1" x14ac:dyDescent="0.25"/>
    <row r="8" spans="2:15" ht="15.75" thickBot="1" x14ac:dyDescent="0.3">
      <c r="B8" s="1" t="s">
        <v>7</v>
      </c>
      <c r="C8" s="1"/>
      <c r="D8" s="2"/>
      <c r="E8" s="2"/>
      <c r="F8" s="2"/>
      <c r="G8" s="2"/>
      <c r="H8" s="4" t="s">
        <v>3</v>
      </c>
      <c r="I8" s="3"/>
      <c r="J8" s="4" t="s">
        <v>72</v>
      </c>
      <c r="K8" s="3"/>
      <c r="L8" s="4" t="s">
        <v>73</v>
      </c>
      <c r="M8" s="4"/>
      <c r="N8" s="4" t="s">
        <v>74</v>
      </c>
      <c r="O8" s="2"/>
    </row>
    <row r="9" spans="2:15" ht="9" customHeight="1" x14ac:dyDescent="0.25"/>
    <row r="10" spans="2:15" ht="21.75" customHeight="1" x14ac:dyDescent="0.25">
      <c r="B10" s="9" t="s">
        <v>1</v>
      </c>
      <c r="C10" s="9"/>
      <c r="D10" s="69"/>
      <c r="E10" s="69"/>
      <c r="F10" s="10"/>
      <c r="G10" s="10"/>
      <c r="H10" s="11">
        <f>J10+L10+N10</f>
        <v>0</v>
      </c>
      <c r="I10" s="10"/>
      <c r="J10" s="11">
        <f>VLOOKUP(J6,Data!A2:E22,4,FALSE)</f>
        <v>0</v>
      </c>
      <c r="K10" s="10"/>
      <c r="L10" s="11">
        <f>VLOOKUP(L6,Data!A2:E22,4,FALSE)</f>
        <v>0</v>
      </c>
      <c r="M10" s="11"/>
      <c r="N10" s="11">
        <f>VLOOKUP(N6,Data!A2:E22,4,FALSE)</f>
        <v>0</v>
      </c>
      <c r="O10" s="10"/>
    </row>
    <row r="11" spans="2:15" ht="21.75" customHeight="1" x14ac:dyDescent="0.25">
      <c r="B11" s="34" t="s">
        <v>0</v>
      </c>
      <c r="C11" s="34"/>
    </row>
    <row r="12" spans="2:15" ht="21.75" customHeight="1" x14ac:dyDescent="0.25">
      <c r="B12" s="12" t="s">
        <v>2</v>
      </c>
      <c r="C12" s="12"/>
      <c r="D12" s="10"/>
      <c r="E12" s="10"/>
      <c r="F12" s="10"/>
      <c r="G12" s="10"/>
      <c r="H12" s="11">
        <f>J12+L12+N12</f>
        <v>0</v>
      </c>
      <c r="I12" s="10"/>
      <c r="J12" s="11">
        <f>VLOOKUP(J6,Data!A2:E22,5,FALSE)</f>
        <v>0</v>
      </c>
      <c r="K12" s="10"/>
      <c r="L12" s="11">
        <f>VLOOKUP(L6,Data!A2:E22,5,FALSE)</f>
        <v>0</v>
      </c>
      <c r="M12" s="11"/>
      <c r="N12" s="11">
        <f>VLOOKUP(N6,Data!A2:E22,5,FALSE)</f>
        <v>0</v>
      </c>
      <c r="O12" s="10"/>
    </row>
    <row r="13" spans="2:15" ht="21.75" customHeight="1" x14ac:dyDescent="0.25">
      <c r="B13" s="36" t="s">
        <v>17</v>
      </c>
      <c r="C13" s="36"/>
      <c r="H13" s="5">
        <f>J13+L13+N13</f>
        <v>0</v>
      </c>
      <c r="J13" s="5">
        <f>IF(AND(J6&lt;&gt;"not enrolled", J6&lt;&gt;"select"), 57, 0)</f>
        <v>0</v>
      </c>
      <c r="L13" s="5">
        <f>IF(AND(L6&lt;&gt;"not enrolled", L6&lt;&gt;"select"), 57, 0)</f>
        <v>0</v>
      </c>
      <c r="N13" s="5">
        <f>IF(AND(N6&lt;&gt;"not enrolled", N6&lt;&gt;"select"), 57, 0)</f>
        <v>0</v>
      </c>
    </row>
    <row r="14" spans="2:15" ht="21.75" customHeight="1" x14ac:dyDescent="0.25">
      <c r="B14" s="70" t="s">
        <v>45</v>
      </c>
      <c r="C14" s="70"/>
      <c r="D14" s="70"/>
      <c r="E14" s="71"/>
      <c r="F14" s="29"/>
      <c r="G14" s="10"/>
      <c r="H14" s="28">
        <f>J14+L14+N14</f>
        <v>0</v>
      </c>
      <c r="I14" s="10"/>
      <c r="J14" s="28">
        <f>IF(AND(F14="Yes", J6&lt;&gt;"not enrolled"), (VLOOKUP(F14, Data!A25:C26, 2, FALSE)), 0)</f>
        <v>0</v>
      </c>
      <c r="K14" s="10"/>
      <c r="L14" s="28">
        <v>0</v>
      </c>
      <c r="M14" s="28"/>
      <c r="N14" s="28">
        <f>IF(AND(F14="Yes", N6&lt;&gt;"not enrolled"), (VLOOKUP(F14, Data!A25:C26, 2, FALSE)), 0)</f>
        <v>0</v>
      </c>
      <c r="O14" s="10"/>
    </row>
    <row r="15" spans="2:15" ht="21.75" customHeight="1" x14ac:dyDescent="0.25">
      <c r="B15" s="72" t="s">
        <v>57</v>
      </c>
      <c r="C15" s="72"/>
      <c r="D15" s="72"/>
      <c r="E15" s="72"/>
      <c r="F15" s="59"/>
      <c r="G15" s="30"/>
      <c r="H15" s="31">
        <f>J15+L15+N15</f>
        <v>0</v>
      </c>
      <c r="I15" s="30"/>
      <c r="J15" s="58">
        <f>IF(AND(J6&lt;&gt;"select", J6&lt;&gt;"not enrolled",J6&lt;&gt;"4 credits",J6&lt;&gt;"5 credits",J6&lt;&gt;"6 credits",J6&lt;&gt;"7 credits"), 250, 0)</f>
        <v>0</v>
      </c>
      <c r="K15" s="30"/>
      <c r="L15" s="58">
        <f>IF(AND(L6&lt;&gt;"select", L6&lt;&gt;"not enrolled",L6&lt;&gt;"4 credits",L6&lt;&gt;"5 credits",L6&lt;&gt;"6 credits",L6&lt;&gt;"7 credits"), 250, 0)</f>
        <v>0</v>
      </c>
      <c r="M15" s="31"/>
      <c r="N15" s="58">
        <f>IF(AND(N6&lt;&gt;"select", N6&lt;&gt;"not enrolled",N6&lt;&gt;"4 credits",N6&lt;&gt;"5 credits",N6&lt;&gt;"6 credits",N6&lt;&gt;"7 credits"), 250, 0)</f>
        <v>0</v>
      </c>
      <c r="O15" s="30"/>
    </row>
    <row r="16" spans="2:15" ht="21.75" customHeight="1" x14ac:dyDescent="0.25">
      <c r="D16" s="7" t="s">
        <v>6</v>
      </c>
      <c r="H16" s="8">
        <f>SUM(H10, H12:H15)</f>
        <v>0</v>
      </c>
      <c r="J16" s="8">
        <f>SUM(J10,J12:J15)</f>
        <v>0</v>
      </c>
      <c r="L16" s="8">
        <f>SUM(L10,L12:L15)</f>
        <v>0</v>
      </c>
      <c r="M16" s="8"/>
      <c r="N16" s="8">
        <f>SUM(N10,N12:N15)</f>
        <v>0</v>
      </c>
    </row>
    <row r="17" spans="2:15" ht="24" customHeight="1" x14ac:dyDescent="0.25"/>
    <row r="18" spans="2:15" ht="15.75" thickBot="1" x14ac:dyDescent="0.3">
      <c r="B18" s="1" t="s">
        <v>11</v>
      </c>
      <c r="C18" s="1"/>
      <c r="D18" s="2"/>
      <c r="E18" s="2"/>
      <c r="F18" s="2"/>
      <c r="G18" s="2"/>
      <c r="H18" s="4" t="s">
        <v>3</v>
      </c>
      <c r="I18" s="3"/>
      <c r="J18" s="4" t="s">
        <v>72</v>
      </c>
      <c r="K18" s="3"/>
      <c r="L18" s="4" t="s">
        <v>73</v>
      </c>
      <c r="M18" s="4"/>
      <c r="N18" s="4" t="s">
        <v>74</v>
      </c>
      <c r="O18" s="2"/>
    </row>
    <row r="19" spans="2:15" ht="21.75" customHeight="1" x14ac:dyDescent="0.25">
      <c r="B19" t="s">
        <v>16</v>
      </c>
      <c r="H19" s="15"/>
      <c r="J19" s="5">
        <f>IF((AND(J6&lt;&gt;"not enrolled", L6&lt;&gt;"not enrolled", N6&lt;&gt;"not enrolled")), (H19/3), IF((AND(J6&lt;&gt;"not enrolled", L6&lt;&gt;"not enrolled", N6="not enrolled")), (H19/2), IF((AND(J6&lt;&gt;"not enrolled", L6="not enrolled", N6="not enrolled")), (H19/1), 0)))</f>
        <v>0</v>
      </c>
      <c r="L19" s="5">
        <f>IF((AND(J6&lt;&gt;"not enrolled", L6&lt;&gt;"not enrolled", N6&lt;&gt;"not enrolled")), (H19/3), IF((AND(J6&lt;&gt;"not enrolled", L6&lt;&gt;"not enrolled", N6="not enrolled")), (H19/2), IF((AND(J6="not enrolled", L6&lt;&gt;"not enrolled", N6&lt;&gt;"not enrolled")), (H19/2), 0)))</f>
        <v>0</v>
      </c>
      <c r="N19" s="5">
        <f>IF((AND(J6&lt;&gt;"not enrolled", L6&lt;&gt;"not enrolled", N6&lt;&gt;"not enrolled")), (H19/3), IF((AND(J6="not enrolled", L6&lt;&gt;"not enrolled", N6&lt;&gt;"not enrolled")), (H19/2), IF((AND(J6="not enrolled", L6="not enrolled", N6&lt;&gt;"not enrolled")), (H19), 0)))</f>
        <v>0</v>
      </c>
    </row>
    <row r="20" spans="2:15" ht="21.75" customHeight="1" x14ac:dyDescent="0.25">
      <c r="B20" s="10" t="s">
        <v>8</v>
      </c>
      <c r="C20" s="10"/>
      <c r="D20" s="10"/>
      <c r="E20" s="10"/>
      <c r="F20" s="10"/>
      <c r="G20" s="10"/>
      <c r="H20" s="16"/>
      <c r="I20" s="10"/>
      <c r="J20" s="11">
        <f>IF((AND(J6&lt;&gt;"not enrolled", L6&lt;&gt;"not enrolled", N6&lt;&gt;"not enrolled")), (H20/3), IF((AND(J6&lt;&gt;"not enrolled", L6&lt;&gt;"not enrolled", N6="not enrolled")), (H20/2), IF((AND(J6&lt;&gt;"not enrolled", L6="not enrolled", N6="not enrolled")), (H20/1), 0)))</f>
        <v>0</v>
      </c>
      <c r="K20" s="10"/>
      <c r="L20" s="11">
        <f>IF((AND(J6&lt;&gt;"not enrolled", L6&lt;&gt;"not enrolled", N6&lt;&gt;"not enrolled")), (H20/3), IF((AND(J6&lt;&gt;"not enrolled", L6&lt;&gt;"not enrolled", N6="not enrolled")), (H20/2), IF((AND(J6="not enrolled", L6&lt;&gt;"not enrolled", N6&lt;&gt;"not enrolled")), (H20/2), 0)))</f>
        <v>0</v>
      </c>
      <c r="M20" s="11"/>
      <c r="N20" s="11">
        <f>IF((AND(J6&lt;&gt;"not enrolled", L6&lt;&gt;"not enrolled", N6&lt;&gt;"not enrolled")), (H20/3), IF((AND(J6="not enrolled", L6&lt;&gt;"not enrolled", N6&lt;&gt;"not enrolled")), (H20/2), IF((AND(J6="not enrolled", L6="not enrolled", N6&lt;&gt;"not enrolled")), (H20), 0)))</f>
        <v>0</v>
      </c>
      <c r="O20" s="10"/>
    </row>
    <row r="21" spans="2:15" ht="21.75" customHeight="1" x14ac:dyDescent="0.25">
      <c r="B21" t="s">
        <v>58</v>
      </c>
      <c r="F21" s="17"/>
      <c r="H21" s="5">
        <f>SUM(J21,L21,N21)</f>
        <v>0</v>
      </c>
      <c r="J21" s="5">
        <f>IF((AND(J6&lt;&gt;"not enrolled", L6&lt;&gt;"not enrolled", N6&lt;&gt;"not enrolled")), ROUND(((F21-(F21*0.01057))/3),0), IF((AND(J6&lt;&gt;"not enrolled", L6&lt;&gt;"not enrolled", N6="not enrolled")), ROUND(((F21-(F21*0.01057))/2),0), IF((AND(J6&lt;&gt;"not enrolled", L6="not enrolled", N6="not enrolled")), ROUND(((F21-(F21*0.01057))/1),0), 0)))</f>
        <v>0</v>
      </c>
      <c r="L21" s="5">
        <f>IF((AND(J6&lt;&gt;"not enrolled", L6&lt;&gt;"not enrolled", N6&lt;&gt;"not enrolled")), ROUND(((F21-(F21*0.01057))/3),0), IF((AND(J6&lt;&gt;"not enrolled", L6&lt;&gt;"not enrolled", N6="not enrolled")), ROUND(((F21-(F21*0.01057))/2),0), IF((AND(J6="not enrolled", L6&lt;&gt;"not enrolled", N6&lt;&gt;"not enrolled")), ROUND(((F21-(F21*0.01057))/2),0), 0)))</f>
        <v>0</v>
      </c>
      <c r="N21" s="5">
        <f>IF((AND(J6&lt;&gt;"not enrolled", L6&lt;&gt;"not enrolled", N6&lt;&gt;"not enrolled")), ROUND(((F21-(F21*0.01057))/3),0), IF((AND(J6="not enrolled", L6&lt;&gt;"not enrolled", N6&lt;&gt;"not enrolled")), ROUND(((F21-(F21*0.01057))/2),0), IF((AND(J6="not enrolled", L6="not enrolled", N6&lt;&gt;"not enrolled")), ROUND(((F21-(F21*0.01057))/1),0), 0)))</f>
        <v>0</v>
      </c>
    </row>
    <row r="22" spans="2:15" ht="21.75" customHeight="1" x14ac:dyDescent="0.25">
      <c r="B22" s="10" t="s">
        <v>59</v>
      </c>
      <c r="C22" s="10"/>
      <c r="D22" s="10"/>
      <c r="E22" s="10"/>
      <c r="F22" s="17"/>
      <c r="G22" s="10"/>
      <c r="H22" s="11">
        <f>SUM(J22,L22,N22)</f>
        <v>0</v>
      </c>
      <c r="I22" s="10"/>
      <c r="J22" s="11">
        <f>IF((AND(J6&lt;&gt;"not enrolled", L6&lt;&gt;"not enrolled", N6&lt;&gt;"not enrolled")), ROUND(((F22-(F22*0.04228))/3),0), IF((AND(J6&lt;&gt;"not enrolled", L6&lt;&gt;"not enrolled", N6="not enrolled")), ROUND(((F22-(F22*0.04228))/2),0), IF((AND(J6&lt;&gt;"not enrolled", L6="not enrolled", N6="not enrolled")), ROUND(((F22-(F22*0.04228))/1),0), 0)))</f>
        <v>0</v>
      </c>
      <c r="K22" s="10"/>
      <c r="L22" s="11">
        <f>IF((AND(J6&lt;&gt;"not enrolled", L6&lt;&gt;"not enrolled", N6&lt;&gt;"not enrolled")), ROUND(((F22-(F22*0.04228))/3),0), IF((AND(J6&lt;&gt;"not enrolled", L6&lt;&gt;"not enrolled", N6="not enrolled")), ROUND(((F22-(F22*0.04228))/2),0), IF((AND(J6="not enrolled", L6&lt;&gt;"not enrolled", N6&lt;&gt;"not enrolled")), ROUND(((F22-(F22*0.04228))/2),0), 0)))</f>
        <v>0</v>
      </c>
      <c r="M22" s="11"/>
      <c r="N22" s="11">
        <f>IF((AND(J6&lt;&gt;"not enrolled", L6&lt;&gt;"not enrolled", N6&lt;&gt;"not enrolled")), ROUND(((F22-(F22*0.04228))/3),0), IF((AND(J6="not enrolled", L6&lt;&gt;"not enrolled", N6&lt;&gt;"not enrolled")), ROUND(((F22-(F22*0.04228))/2),0), IF((AND(J6="not enrolled", L6="not enrolled", N6&lt;&gt;"not enrolled")), ROUND(((F22-(F22*0.04228))/1),0), 0)))</f>
        <v>0</v>
      </c>
      <c r="O22" s="10"/>
    </row>
    <row r="23" spans="2:15" ht="21.75" customHeight="1" x14ac:dyDescent="0.25">
      <c r="B23" s="64" t="s">
        <v>22</v>
      </c>
      <c r="C23" s="64"/>
      <c r="D23" s="64"/>
      <c r="E23" s="64"/>
      <c r="F23" s="64"/>
      <c r="H23" s="16"/>
      <c r="J23" s="5">
        <f>IF((AND(J6&lt;&gt;"not enrolled", L6&lt;&gt;"not enrolled", N6&lt;&gt;"not enrolled")), (H23/3), IF((AND(J6&lt;&gt;"not enrolled", L6&lt;&gt;"not enrolled", N6="not enrolled")), (H23/2), IF((AND(J6&lt;&gt;"not enrolled", L6="not enrolled", N6="not enrolled")), (H23/1), 0)))</f>
        <v>0</v>
      </c>
      <c r="L23" s="5">
        <f>IF((AND(J6&lt;&gt;"not enrolled", L6&lt;&gt;"not enrolled", N6&lt;&gt;"not enrolled")), (H23/3), IF((AND(J6&lt;&gt;"not enrolled", L6&lt;&gt;"not enrolled", N6="not enrolled")), (H23/2), IF((AND(J6="not enrolled", L6&lt;&gt;"not enrolled", N6&lt;&gt;"not enrolled")), (H23/2), 0)))</f>
        <v>0</v>
      </c>
      <c r="N23" s="5">
        <f>IF((AND(J6&lt;&gt;"not enrolled", L6&lt;&gt;"not enrolled", N6&lt;&gt;"not enrolled")), (H23/3), IF((AND(J6="not enrolled", L6&lt;&gt;"not enrolled", N6&lt;&gt;"not enrolled")), (H23/2), IF((AND(J6="not enrolled", L6="not enrolled", N6&lt;&gt;"not enrolled")), (H23), 0)))</f>
        <v>0</v>
      </c>
    </row>
    <row r="24" spans="2:15" ht="21.75" customHeight="1" x14ac:dyDescent="0.25">
      <c r="B24" s="65" t="s">
        <v>23</v>
      </c>
      <c r="C24" s="65"/>
      <c r="D24" s="65"/>
      <c r="E24" s="65"/>
      <c r="F24" s="65"/>
      <c r="G24" s="65"/>
      <c r="H24" s="26">
        <f>J24+L24+N24</f>
        <v>0</v>
      </c>
      <c r="I24" s="25"/>
      <c r="J24" s="18"/>
      <c r="K24" s="25"/>
      <c r="L24" s="18"/>
      <c r="M24" s="32"/>
      <c r="N24" s="48"/>
      <c r="O24" s="25"/>
    </row>
    <row r="25" spans="2:15" ht="21.75" customHeight="1" x14ac:dyDescent="0.25">
      <c r="D25" s="7" t="s">
        <v>10</v>
      </c>
      <c r="H25" s="5">
        <f>SUM(H19:H24)</f>
        <v>0</v>
      </c>
      <c r="J25" s="5">
        <f>SUM(J19:J24)</f>
        <v>0</v>
      </c>
      <c r="L25" s="5">
        <f>SUM(L19:L23,L24)</f>
        <v>0</v>
      </c>
      <c r="N25" s="5">
        <f>SUM(N19:N23,N24)</f>
        <v>0</v>
      </c>
    </row>
    <row r="26" spans="2:15" ht="15.75" thickBot="1" x14ac:dyDescent="0.3"/>
    <row r="27" spans="2:15" ht="21.75" customHeight="1" thickTop="1" thickBot="1" x14ac:dyDescent="0.35">
      <c r="B27" s="14" t="s">
        <v>12</v>
      </c>
      <c r="C27" s="14"/>
      <c r="D27" s="13"/>
      <c r="E27" s="13"/>
      <c r="F27" s="13"/>
      <c r="G27" s="13"/>
      <c r="H27" s="23">
        <f>H16-H25</f>
        <v>0</v>
      </c>
      <c r="I27" s="24"/>
      <c r="J27" s="23">
        <f>J16-J25</f>
        <v>0</v>
      </c>
      <c r="K27" s="24"/>
      <c r="L27" s="23">
        <f>L16-L25</f>
        <v>0</v>
      </c>
      <c r="M27" s="23"/>
      <c r="N27" s="23">
        <f>N16-N25</f>
        <v>0</v>
      </c>
      <c r="O27" s="13"/>
    </row>
    <row r="28" spans="2:15" ht="15.75" thickTop="1" x14ac:dyDescent="0.25"/>
    <row r="29" spans="2:15" x14ac:dyDescent="0.25">
      <c r="B29" s="7" t="s">
        <v>13</v>
      </c>
      <c r="C29" s="7"/>
    </row>
    <row r="30" spans="2:15" ht="21.75" customHeight="1" x14ac:dyDescent="0.25">
      <c r="B30" s="47">
        <v>1</v>
      </c>
      <c r="C30" t="s">
        <v>75</v>
      </c>
      <c r="D30" s="46"/>
      <c r="E30" s="46"/>
      <c r="F30" s="46"/>
      <c r="G30" s="46"/>
      <c r="H30" s="46"/>
      <c r="I30" s="46"/>
      <c r="J30" s="46"/>
      <c r="K30" s="46"/>
      <c r="L30" s="46"/>
      <c r="M30" s="46"/>
      <c r="N30" s="46"/>
      <c r="O30" s="46"/>
    </row>
    <row r="31" spans="2:15" ht="18" customHeight="1" x14ac:dyDescent="0.25">
      <c r="B31" s="45">
        <v>2</v>
      </c>
      <c r="C31" t="s">
        <v>46</v>
      </c>
      <c r="H31"/>
      <c r="J31"/>
      <c r="L31"/>
      <c r="M31"/>
      <c r="N31"/>
    </row>
    <row r="32" spans="2:15" ht="32.25" customHeight="1" x14ac:dyDescent="0.25">
      <c r="B32" s="44">
        <v>3</v>
      </c>
      <c r="C32" s="66" t="s">
        <v>86</v>
      </c>
      <c r="D32" s="66"/>
      <c r="E32" s="66"/>
      <c r="F32" s="66"/>
      <c r="G32" s="66"/>
      <c r="H32" s="66"/>
      <c r="I32" s="66"/>
      <c r="J32" s="66"/>
      <c r="K32" s="66"/>
      <c r="L32" s="66"/>
      <c r="M32" s="66"/>
      <c r="N32" s="66"/>
      <c r="O32" s="66"/>
    </row>
    <row r="33" spans="2:15" ht="33" customHeight="1" x14ac:dyDescent="0.25">
      <c r="B33" s="44">
        <v>4</v>
      </c>
      <c r="C33" s="66" t="s">
        <v>60</v>
      </c>
      <c r="D33" s="66"/>
      <c r="E33" s="66"/>
      <c r="F33" s="66"/>
      <c r="G33" s="66"/>
      <c r="H33" s="66"/>
      <c r="I33" s="66"/>
      <c r="J33" s="66"/>
      <c r="K33" s="66"/>
      <c r="L33" s="66"/>
      <c r="M33" s="66"/>
      <c r="N33" s="66"/>
      <c r="O33" s="66"/>
    </row>
    <row r="34" spans="2:15" ht="46.5" customHeight="1" x14ac:dyDescent="0.25">
      <c r="B34" s="44">
        <v>5</v>
      </c>
      <c r="C34" s="66" t="s">
        <v>49</v>
      </c>
      <c r="D34" s="66"/>
      <c r="E34" s="66"/>
      <c r="F34" s="66"/>
      <c r="G34" s="66"/>
      <c r="H34" s="66"/>
      <c r="I34" s="66"/>
      <c r="J34" s="66"/>
      <c r="K34" s="66"/>
      <c r="L34" s="66"/>
      <c r="M34" s="66"/>
      <c r="N34" s="66"/>
      <c r="O34" s="66"/>
    </row>
    <row r="35" spans="2:15" ht="21.75" customHeight="1" x14ac:dyDescent="0.25"/>
    <row r="37" spans="2:15" x14ac:dyDescent="0.25">
      <c r="B37" s="60" t="s">
        <v>14</v>
      </c>
      <c r="C37" s="60"/>
      <c r="D37" s="60"/>
      <c r="E37" s="60"/>
      <c r="F37" s="60"/>
      <c r="G37" s="60"/>
      <c r="H37" s="60"/>
      <c r="I37" s="60"/>
      <c r="J37" s="60"/>
      <c r="K37" s="60"/>
      <c r="L37" s="60"/>
      <c r="M37" s="60"/>
      <c r="N37" s="60"/>
      <c r="O37" s="60"/>
    </row>
  </sheetData>
  <sheetProtection algorithmName="SHA-512" hashValue="pZ4BNN6PM+HccWp5iGGOXdWyRrU9Zpd1e+h2UL2ZLasUEhrfGlPPKG2zC4D2kIk3PWXZqrs+WnHGy+thB2g2yw==" saltValue="GmMnKJxuav5eJTp7kYBCYQ==" spinCount="100000" sheet="1" objects="1" scenarios="1" selectLockedCells="1"/>
  <mergeCells count="10">
    <mergeCell ref="B23:F23"/>
    <mergeCell ref="B24:G24"/>
    <mergeCell ref="C34:O34"/>
    <mergeCell ref="B37:O37"/>
    <mergeCell ref="H2:O2"/>
    <mergeCell ref="D10:E10"/>
    <mergeCell ref="B14:E14"/>
    <mergeCell ref="B15:E15"/>
    <mergeCell ref="C33:O33"/>
    <mergeCell ref="C32:O32"/>
  </mergeCells>
  <hyperlinks>
    <hyperlink ref="B14" r:id="rId1" display="Will you enroll in DU's health insurance plan?" xr:uid="{00000000-0004-0000-0100-000000000000}"/>
    <hyperlink ref="B15" r:id="rId2" display="Will you use DU Health &amp; Counseling Services? " xr:uid="{00000000-0004-0000-01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Data!$A$25:$A$26</xm:f>
          </x14:formula1>
          <xm:sqref>F14</xm:sqref>
        </x14:dataValidation>
        <x14:dataValidation type="list" allowBlank="1" showInputMessage="1" showErrorMessage="1" xr:uid="{00000000-0002-0000-0100-000002000000}">
          <x14:formula1>
            <xm:f>Data!$A$2:$A$22</xm:f>
          </x14:formula1>
          <xm:sqref>N6 J6 L6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A5584-B156-4E97-B2C2-4091B6344F3B}">
  <sheetPr>
    <pageSetUpPr fitToPage="1"/>
  </sheetPr>
  <dimension ref="B1:O37"/>
  <sheetViews>
    <sheetView showGridLines="0" showRowColHeaders="0" showRuler="0" zoomScaleNormal="100" workbookViewId="0">
      <selection activeCell="J6" sqref="J6"/>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H2" s="67" t="s">
        <v>76</v>
      </c>
      <c r="I2" s="68"/>
      <c r="J2" s="68"/>
      <c r="K2" s="68"/>
      <c r="L2" s="68"/>
      <c r="M2" s="68"/>
      <c r="N2" s="68"/>
      <c r="O2" s="68"/>
    </row>
    <row r="3" spans="2:15" ht="8.25" customHeight="1" x14ac:dyDescent="0.25">
      <c r="B3" s="19"/>
      <c r="C3" s="19"/>
      <c r="D3" s="19"/>
      <c r="E3" s="19"/>
      <c r="F3" s="19"/>
      <c r="G3" s="19"/>
      <c r="H3" s="20"/>
      <c r="I3" s="21"/>
      <c r="J3" s="21"/>
      <c r="K3" s="21"/>
      <c r="L3" s="21"/>
      <c r="M3" s="21"/>
      <c r="N3" s="21"/>
      <c r="O3" s="21"/>
    </row>
    <row r="4" spans="2:15" ht="15.75" customHeight="1" x14ac:dyDescent="0.25">
      <c r="J4" s="43"/>
      <c r="L4" s="43"/>
      <c r="N4" s="43"/>
    </row>
    <row r="5" spans="2:15" ht="15.75" customHeight="1" x14ac:dyDescent="0.25">
      <c r="J5" s="43" t="s">
        <v>69</v>
      </c>
      <c r="L5" s="43" t="s">
        <v>70</v>
      </c>
      <c r="N5" s="43" t="s">
        <v>71</v>
      </c>
    </row>
    <row r="6" spans="2:15" ht="18" customHeight="1" x14ac:dyDescent="0.3">
      <c r="D6" s="6" t="s">
        <v>15</v>
      </c>
      <c r="E6" s="27"/>
      <c r="F6" s="27"/>
      <c r="G6" s="27"/>
      <c r="H6" s="27"/>
      <c r="I6" s="27"/>
      <c r="J6" s="42" t="s">
        <v>55</v>
      </c>
      <c r="L6" s="42" t="s">
        <v>55</v>
      </c>
      <c r="M6" s="22"/>
      <c r="N6" s="42" t="s">
        <v>55</v>
      </c>
      <c r="O6" s="27"/>
    </row>
    <row r="7" spans="2:15" ht="6" customHeight="1" x14ac:dyDescent="0.25"/>
    <row r="8" spans="2:15" ht="15.75" thickBot="1" x14ac:dyDescent="0.3">
      <c r="B8" s="1" t="s">
        <v>7</v>
      </c>
      <c r="C8" s="1"/>
      <c r="D8" s="2"/>
      <c r="E8" s="2"/>
      <c r="F8" s="2"/>
      <c r="G8" s="2"/>
      <c r="H8" s="4" t="s">
        <v>3</v>
      </c>
      <c r="I8" s="3"/>
      <c r="J8" s="4" t="s">
        <v>72</v>
      </c>
      <c r="K8" s="3"/>
      <c r="L8" s="4" t="s">
        <v>73</v>
      </c>
      <c r="M8" s="4"/>
      <c r="N8" s="4" t="s">
        <v>74</v>
      </c>
      <c r="O8" s="2"/>
    </row>
    <row r="9" spans="2:15" ht="9" customHeight="1" x14ac:dyDescent="0.25"/>
    <row r="10" spans="2:15" ht="21.75" customHeight="1" x14ac:dyDescent="0.25">
      <c r="B10" s="9" t="s">
        <v>1</v>
      </c>
      <c r="C10" s="9"/>
      <c r="D10" s="69"/>
      <c r="E10" s="69"/>
      <c r="F10" s="10"/>
      <c r="G10" s="10"/>
      <c r="H10" s="11">
        <f>J10+L10+N10</f>
        <v>0</v>
      </c>
      <c r="I10" s="10"/>
      <c r="J10" s="11">
        <f>VLOOKUP(J6,Data!A2:E22,3,FALSE)</f>
        <v>0</v>
      </c>
      <c r="K10" s="10"/>
      <c r="L10" s="11">
        <f>VLOOKUP(L6,Data!A2:E22,3,FALSE)</f>
        <v>0</v>
      </c>
      <c r="M10" s="11"/>
      <c r="N10" s="11">
        <f>VLOOKUP(N6,Data!A2:E22,3,FALSE)</f>
        <v>0</v>
      </c>
      <c r="O10" s="10"/>
    </row>
    <row r="11" spans="2:15" ht="21.75" customHeight="1" x14ac:dyDescent="0.25">
      <c r="B11" s="34" t="s">
        <v>0</v>
      </c>
      <c r="C11" s="34"/>
    </row>
    <row r="12" spans="2:15" ht="21.75" customHeight="1" x14ac:dyDescent="0.25">
      <c r="B12" s="12" t="s">
        <v>2</v>
      </c>
      <c r="C12" s="12"/>
      <c r="D12" s="10"/>
      <c r="E12" s="10"/>
      <c r="F12" s="10"/>
      <c r="G12" s="10"/>
      <c r="H12" s="11">
        <f>J12+L12+N12</f>
        <v>0</v>
      </c>
      <c r="I12" s="10"/>
      <c r="J12" s="11">
        <f>VLOOKUP(J6,Data!A2:E22,5,FALSE)</f>
        <v>0</v>
      </c>
      <c r="K12" s="10"/>
      <c r="L12" s="11">
        <f>VLOOKUP(L6,Data!A2:E22,5,FALSE)</f>
        <v>0</v>
      </c>
      <c r="M12" s="11"/>
      <c r="N12" s="11">
        <f>VLOOKUP(N6,Data!A2:E22,5,FALSE)</f>
        <v>0</v>
      </c>
      <c r="O12" s="10"/>
    </row>
    <row r="13" spans="2:15" ht="21.75" customHeight="1" x14ac:dyDescent="0.25">
      <c r="B13" s="36" t="s">
        <v>17</v>
      </c>
      <c r="C13" s="36"/>
      <c r="H13" s="5">
        <f>J13+L13+N13</f>
        <v>0</v>
      </c>
      <c r="J13" s="5">
        <f>IF(AND(J6&lt;&gt;"not enrolled", J6&lt;&gt;"select"), 57, 0)</f>
        <v>0</v>
      </c>
      <c r="L13" s="5">
        <f>IF(AND(L6&lt;&gt;"not enrolled", L6&lt;&gt;"select"), 57, 0)</f>
        <v>0</v>
      </c>
      <c r="N13" s="5">
        <f>IF(AND(N6&lt;&gt;"not enrolled", N6&lt;&gt;"select"), 57, 0)</f>
        <v>0</v>
      </c>
    </row>
    <row r="14" spans="2:15" ht="21.75" customHeight="1" x14ac:dyDescent="0.25">
      <c r="B14" s="70" t="s">
        <v>45</v>
      </c>
      <c r="C14" s="70"/>
      <c r="D14" s="70"/>
      <c r="E14" s="71"/>
      <c r="F14" s="29"/>
      <c r="G14" s="10"/>
      <c r="H14" s="28">
        <f>J14+L14+N14</f>
        <v>0</v>
      </c>
      <c r="I14" s="10"/>
      <c r="J14" s="28">
        <f>IF(AND(F14="Yes", J6&lt;&gt;"not enrolled"), (VLOOKUP(F14, Data!A25:C26, 2, FALSE)), 0)</f>
        <v>0</v>
      </c>
      <c r="K14" s="10"/>
      <c r="L14" s="28">
        <v>0</v>
      </c>
      <c r="M14" s="28"/>
      <c r="N14" s="28">
        <f>IF(AND(F14="Yes", N6&lt;&gt;"not enrolled"), (VLOOKUP(F14, Data!A25:C26, 2, FALSE)), 0)</f>
        <v>0</v>
      </c>
      <c r="O14" s="10"/>
    </row>
    <row r="15" spans="2:15" ht="21.75" customHeight="1" x14ac:dyDescent="0.25">
      <c r="B15" s="72" t="s">
        <v>57</v>
      </c>
      <c r="C15" s="72"/>
      <c r="D15" s="72"/>
      <c r="E15" s="72"/>
      <c r="F15" s="59"/>
      <c r="G15" s="30"/>
      <c r="H15" s="31">
        <f>J15+L15+N15</f>
        <v>0</v>
      </c>
      <c r="I15" s="30"/>
      <c r="J15" s="58">
        <f>IF(AND(J6&lt;&gt;"select", J6&lt;&gt;"not enrolled",J6&lt;&gt;"4 credits",J6&lt;&gt;"5 credits",J6&lt;&gt;"6 credits",J6&lt;&gt;"7 credits"), 250, 0)</f>
        <v>0</v>
      </c>
      <c r="K15" s="30"/>
      <c r="L15" s="58">
        <f>IF(AND(L6&lt;&gt;"select", L6&lt;&gt;"not enrolled",L6&lt;&gt;"4 credits",L6&lt;&gt;"5 credits",L6&lt;&gt;"6 credits",L6&lt;&gt;"7 credits"), 250, 0)</f>
        <v>0</v>
      </c>
      <c r="M15" s="31"/>
      <c r="N15" s="58">
        <f>IF(AND(N6&lt;&gt;"select", N6&lt;&gt;"not enrolled",N6&lt;&gt;"4 credits",N6&lt;&gt;"5 credits",N6&lt;&gt;"6 credits",N6&lt;&gt;"7 credits"), 250, 0)</f>
        <v>0</v>
      </c>
      <c r="O15" s="30"/>
    </row>
    <row r="16" spans="2:15" ht="21.75" customHeight="1" x14ac:dyDescent="0.25">
      <c r="D16" s="7" t="s">
        <v>6</v>
      </c>
      <c r="H16" s="8">
        <f>SUM(H10, H12:H15)</f>
        <v>0</v>
      </c>
      <c r="J16" s="8">
        <f>SUM(J10,J12:J15)</f>
        <v>0</v>
      </c>
      <c r="L16" s="8">
        <f>SUM(L10,L12:L15)</f>
        <v>0</v>
      </c>
      <c r="M16" s="8"/>
      <c r="N16" s="8">
        <f>SUM(N10,N12:N15)</f>
        <v>0</v>
      </c>
    </row>
    <row r="17" spans="2:15" ht="24" customHeight="1" x14ac:dyDescent="0.25"/>
    <row r="18" spans="2:15" ht="15.75" thickBot="1" x14ac:dyDescent="0.3">
      <c r="B18" s="1" t="s">
        <v>11</v>
      </c>
      <c r="C18" s="1"/>
      <c r="D18" s="2"/>
      <c r="E18" s="2"/>
      <c r="F18" s="2"/>
      <c r="G18" s="2"/>
      <c r="H18" s="4" t="s">
        <v>3</v>
      </c>
      <c r="I18" s="3"/>
      <c r="J18" s="4" t="s">
        <v>72</v>
      </c>
      <c r="K18" s="3"/>
      <c r="L18" s="4" t="s">
        <v>73</v>
      </c>
      <c r="M18" s="4"/>
      <c r="N18" s="4" t="s">
        <v>74</v>
      </c>
      <c r="O18" s="2"/>
    </row>
    <row r="19" spans="2:15" ht="21.75" customHeight="1" x14ac:dyDescent="0.25">
      <c r="B19" t="s">
        <v>16</v>
      </c>
      <c r="H19" s="15"/>
      <c r="J19" s="5">
        <f>IF((AND(J6&lt;&gt;"not enrolled", L6&lt;&gt;"not enrolled", N6&lt;&gt;"not enrolled")), (H19/3), IF((AND(J6&lt;&gt;"not enrolled", L6&lt;&gt;"not enrolled", N6="not enrolled")), (H19/2), IF((AND(J6&lt;&gt;"not enrolled", L6="not enrolled", N6="not enrolled")), (H19/1), 0)))</f>
        <v>0</v>
      </c>
      <c r="L19" s="5">
        <f>IF((AND(J6&lt;&gt;"not enrolled", L6&lt;&gt;"not enrolled", N6&lt;&gt;"not enrolled")), (H19/3), IF((AND(J6&lt;&gt;"not enrolled", L6&lt;&gt;"not enrolled", N6="not enrolled")), (H19/2), IF((AND(J6="not enrolled", L6&lt;&gt;"not enrolled", N6&lt;&gt;"not enrolled")), (H19/2), 0)))</f>
        <v>0</v>
      </c>
      <c r="N19" s="5">
        <f>IF((AND(J6&lt;&gt;"not enrolled", L6&lt;&gt;"not enrolled", N6&lt;&gt;"not enrolled")), (H19/3), IF((AND(J6="not enrolled", L6&lt;&gt;"not enrolled", N6&lt;&gt;"not enrolled")), (H19/2), IF((AND(J6="not enrolled", L6="not enrolled", N6&lt;&gt;"not enrolled")), (H19), 0)))</f>
        <v>0</v>
      </c>
    </row>
    <row r="20" spans="2:15" ht="21.75" customHeight="1" x14ac:dyDescent="0.25">
      <c r="B20" s="10" t="s">
        <v>8</v>
      </c>
      <c r="C20" s="10"/>
      <c r="D20" s="10"/>
      <c r="E20" s="10"/>
      <c r="F20" s="10"/>
      <c r="G20" s="10"/>
      <c r="H20" s="16"/>
      <c r="I20" s="10"/>
      <c r="J20" s="11">
        <f>IF((AND(J6&lt;&gt;"not enrolled", L6&lt;&gt;"not enrolled", N6&lt;&gt;"not enrolled")), (H20/3), IF((AND(J6&lt;&gt;"not enrolled", L6&lt;&gt;"not enrolled", N6="not enrolled")), (H20/2), IF((AND(J6&lt;&gt;"not enrolled", L6="not enrolled", N6="not enrolled")), (H20/1), 0)))</f>
        <v>0</v>
      </c>
      <c r="K20" s="10"/>
      <c r="L20" s="11">
        <f>IF((AND(J6&lt;&gt;"not enrolled", L6&lt;&gt;"not enrolled", N6&lt;&gt;"not enrolled")), (H20/3), IF((AND(J6&lt;&gt;"not enrolled", L6&lt;&gt;"not enrolled", N6="not enrolled")), (H20/2), IF((AND(J6="not enrolled", L6&lt;&gt;"not enrolled", N6&lt;&gt;"not enrolled")), (H20/2), 0)))</f>
        <v>0</v>
      </c>
      <c r="M20" s="11"/>
      <c r="N20" s="11">
        <f>IF((AND(J6&lt;&gt;"not enrolled", L6&lt;&gt;"not enrolled", N6&lt;&gt;"not enrolled")), (H20/3), IF((AND(J6="not enrolled", L6&lt;&gt;"not enrolled", N6&lt;&gt;"not enrolled")), (H20/2), IF((AND(J6="not enrolled", L6="not enrolled", N6&lt;&gt;"not enrolled")), (H20), 0)))</f>
        <v>0</v>
      </c>
      <c r="O20" s="10"/>
    </row>
    <row r="21" spans="2:15" ht="21.75" customHeight="1" x14ac:dyDescent="0.25">
      <c r="B21" t="s">
        <v>58</v>
      </c>
      <c r="F21" s="17"/>
      <c r="H21" s="5">
        <f>SUM(J21,L21,N21)</f>
        <v>0</v>
      </c>
      <c r="J21" s="5">
        <f>IF((AND(J6&lt;&gt;"not enrolled", L6&lt;&gt;"not enrolled", N6&lt;&gt;"not enrolled")), ROUND(((F21-(F21*0.01057))/3),0), IF((AND(J6&lt;&gt;"not enrolled", L6&lt;&gt;"not enrolled", N6="not enrolled")), ROUND(((F21-(F21*0.01057))/2),0), IF((AND(J6&lt;&gt;"not enrolled", L6="not enrolled", N6="not enrolled")), ROUND(((F21-(F21*0.01057))/1),0), 0)))</f>
        <v>0</v>
      </c>
      <c r="L21" s="5">
        <f>IF((AND(J6&lt;&gt;"not enrolled", L6&lt;&gt;"not enrolled", N6&lt;&gt;"not enrolled")), ROUND(((F21-(F21*0.01057))/3),0), IF((AND(J6&lt;&gt;"not enrolled", L6&lt;&gt;"not enrolled", N6="not enrolled")), ROUND(((F21-(F21*0.01057))/2),0), IF((AND(J6="not enrolled", L6&lt;&gt;"not enrolled", N6&lt;&gt;"not enrolled")), ROUND(((F21-(F21*0.01057))/2),0), 0)))</f>
        <v>0</v>
      </c>
      <c r="N21" s="5">
        <f>IF((AND(J6&lt;&gt;"not enrolled", L6&lt;&gt;"not enrolled", N6&lt;&gt;"not enrolled")), ROUND(((F21-(F21*0.01057))/3),0), IF((AND(J6="not enrolled", L6&lt;&gt;"not enrolled", N6&lt;&gt;"not enrolled")), ROUND(((F21-(F21*0.01057))/2),0), IF((AND(J6="not enrolled", L6="not enrolled", N6&lt;&gt;"not enrolled")), ROUND(((F21-(F21*0.01057))/1),0), 0)))</f>
        <v>0</v>
      </c>
    </row>
    <row r="22" spans="2:15" ht="21.75" customHeight="1" x14ac:dyDescent="0.25">
      <c r="B22" s="10" t="s">
        <v>59</v>
      </c>
      <c r="C22" s="10"/>
      <c r="D22" s="10"/>
      <c r="E22" s="10"/>
      <c r="F22" s="17"/>
      <c r="G22" s="10"/>
      <c r="H22" s="11">
        <f>SUM(J22,L22,N22)</f>
        <v>0</v>
      </c>
      <c r="I22" s="10"/>
      <c r="J22" s="11">
        <f>IF((AND(J6&lt;&gt;"not enrolled", L6&lt;&gt;"not enrolled", N6&lt;&gt;"not enrolled")), ROUND(((F22-(F22*0.04228))/3),0), IF((AND(J6&lt;&gt;"not enrolled", L6&lt;&gt;"not enrolled", N6="not enrolled")), ROUND(((F22-(F22*0.04228))/2),0), IF((AND(J6&lt;&gt;"not enrolled", L6="not enrolled", N6="not enrolled")), ROUND(((F22-(F22*0.04228))/1),0), 0)))</f>
        <v>0</v>
      </c>
      <c r="K22" s="10"/>
      <c r="L22" s="11">
        <f>IF((AND(J6&lt;&gt;"not enrolled", L6&lt;&gt;"not enrolled", N6&lt;&gt;"not enrolled")), ROUND(((F22-(F22*0.04228))/3),0), IF((AND(J6&lt;&gt;"not enrolled", L6&lt;&gt;"not enrolled", N6="not enrolled")), ROUND(((F22-(F22*0.04228))/2),0), IF((AND(J6="not enrolled", L6&lt;&gt;"not enrolled", N6&lt;&gt;"not enrolled")), ROUND(((F22-(F22*0.04228))/2),0), 0)))</f>
        <v>0</v>
      </c>
      <c r="M22" s="11"/>
      <c r="N22" s="11">
        <f>IF((AND(J6&lt;&gt;"not enrolled", L6&lt;&gt;"not enrolled", N6&lt;&gt;"not enrolled")), ROUND(((F22-(F22*0.04228))/3),0), IF((AND(J6="not enrolled", L6&lt;&gt;"not enrolled", N6&lt;&gt;"not enrolled")), ROUND(((F22-(F22*0.04228))/2),0), IF((AND(J6="not enrolled", L6="not enrolled", N6&lt;&gt;"not enrolled")), ROUND(((F22-(F22*0.04228))/1),0), 0)))</f>
        <v>0</v>
      </c>
      <c r="O22" s="10"/>
    </row>
    <row r="23" spans="2:15" ht="21.75" customHeight="1" x14ac:dyDescent="0.25">
      <c r="B23" s="64" t="s">
        <v>22</v>
      </c>
      <c r="C23" s="64"/>
      <c r="D23" s="64"/>
      <c r="E23" s="64"/>
      <c r="F23" s="64"/>
      <c r="H23" s="16"/>
      <c r="J23" s="5">
        <f>IF((AND(J6&lt;&gt;"not enrolled", L6&lt;&gt;"not enrolled", N6&lt;&gt;"not enrolled")), (H23/3), IF((AND(J6&lt;&gt;"not enrolled", L6&lt;&gt;"not enrolled", N6="not enrolled")), (H23/2), IF((AND(J6&lt;&gt;"not enrolled", L6="not enrolled", N6="not enrolled")), (H23/1), 0)))</f>
        <v>0</v>
      </c>
      <c r="L23" s="5">
        <f>IF((AND(J6&lt;&gt;"not enrolled", L6&lt;&gt;"not enrolled", N6&lt;&gt;"not enrolled")), (H23/3), IF((AND(J6&lt;&gt;"not enrolled", L6&lt;&gt;"not enrolled", N6="not enrolled")), (H23/2), IF((AND(J6="not enrolled", L6&lt;&gt;"not enrolled", N6&lt;&gt;"not enrolled")), (H23/2), 0)))</f>
        <v>0</v>
      </c>
      <c r="N23" s="5">
        <f>IF((AND(J6&lt;&gt;"not enrolled", L6&lt;&gt;"not enrolled", N6&lt;&gt;"not enrolled")), (H23/3), IF((AND(J6="not enrolled", L6&lt;&gt;"not enrolled", N6&lt;&gt;"not enrolled")), (H23/2), IF((AND(J6="not enrolled", L6="not enrolled", N6&lt;&gt;"not enrolled")), (H23), 0)))</f>
        <v>0</v>
      </c>
    </row>
    <row r="24" spans="2:15" ht="21.75" customHeight="1" x14ac:dyDescent="0.25">
      <c r="B24" s="65" t="s">
        <v>23</v>
      </c>
      <c r="C24" s="65"/>
      <c r="D24" s="65"/>
      <c r="E24" s="65"/>
      <c r="F24" s="65"/>
      <c r="G24" s="65"/>
      <c r="H24" s="26">
        <f>J24+L24+N24</f>
        <v>0</v>
      </c>
      <c r="I24" s="25"/>
      <c r="J24" s="18"/>
      <c r="K24" s="25"/>
      <c r="L24" s="18"/>
      <c r="M24" s="32"/>
      <c r="N24" s="48"/>
      <c r="O24" s="25"/>
    </row>
    <row r="25" spans="2:15" ht="21.75" customHeight="1" x14ac:dyDescent="0.25">
      <c r="D25" s="7" t="s">
        <v>10</v>
      </c>
      <c r="H25" s="5">
        <f>SUM(H19:H24)</f>
        <v>0</v>
      </c>
      <c r="J25" s="5">
        <f>SUM(J19:J24)</f>
        <v>0</v>
      </c>
      <c r="L25" s="5">
        <f>SUM(L19:L23,L24)</f>
        <v>0</v>
      </c>
      <c r="N25" s="5">
        <f>SUM(N19:N23,N24)</f>
        <v>0</v>
      </c>
    </row>
    <row r="26" spans="2:15" ht="15.75" thickBot="1" x14ac:dyDescent="0.3"/>
    <row r="27" spans="2:15" ht="21.75" customHeight="1" thickTop="1" thickBot="1" x14ac:dyDescent="0.35">
      <c r="B27" s="14" t="s">
        <v>12</v>
      </c>
      <c r="C27" s="14"/>
      <c r="D27" s="13"/>
      <c r="E27" s="13"/>
      <c r="F27" s="13"/>
      <c r="G27" s="13"/>
      <c r="H27" s="23">
        <f>H16-H25</f>
        <v>0</v>
      </c>
      <c r="I27" s="24"/>
      <c r="J27" s="23">
        <f>J16-J25</f>
        <v>0</v>
      </c>
      <c r="K27" s="24"/>
      <c r="L27" s="23">
        <f>L16-L25</f>
        <v>0</v>
      </c>
      <c r="M27" s="23"/>
      <c r="N27" s="23">
        <f>N16-N25</f>
        <v>0</v>
      </c>
      <c r="O27" s="13"/>
    </row>
    <row r="28" spans="2:15" ht="15.75" thickTop="1" x14ac:dyDescent="0.25"/>
    <row r="29" spans="2:15" x14ac:dyDescent="0.25">
      <c r="B29" s="7" t="s">
        <v>13</v>
      </c>
      <c r="C29" s="7"/>
    </row>
    <row r="30" spans="2:15" ht="21.75" customHeight="1" x14ac:dyDescent="0.25">
      <c r="B30" s="47">
        <v>1</v>
      </c>
      <c r="C30" t="s">
        <v>77</v>
      </c>
      <c r="D30" s="46"/>
      <c r="E30" s="46"/>
      <c r="F30" s="46"/>
      <c r="G30" s="46"/>
      <c r="H30" s="46"/>
      <c r="I30" s="46"/>
      <c r="J30" s="46"/>
      <c r="K30" s="46"/>
      <c r="L30" s="46"/>
      <c r="M30" s="46"/>
      <c r="N30" s="46"/>
      <c r="O30" s="46"/>
    </row>
    <row r="31" spans="2:15" ht="18" customHeight="1" x14ac:dyDescent="0.25">
      <c r="B31" s="45">
        <v>2</v>
      </c>
      <c r="C31" t="s">
        <v>46</v>
      </c>
      <c r="H31"/>
      <c r="J31"/>
      <c r="L31"/>
      <c r="M31"/>
      <c r="N31"/>
    </row>
    <row r="32" spans="2:15" ht="32.25" customHeight="1" x14ac:dyDescent="0.25">
      <c r="B32" s="44">
        <v>3</v>
      </c>
      <c r="C32" s="66" t="s">
        <v>87</v>
      </c>
      <c r="D32" s="66"/>
      <c r="E32" s="66"/>
      <c r="F32" s="66"/>
      <c r="G32" s="66"/>
      <c r="H32" s="66"/>
      <c r="I32" s="66"/>
      <c r="J32" s="66"/>
      <c r="K32" s="66"/>
      <c r="L32" s="66"/>
      <c r="M32" s="66"/>
      <c r="N32" s="66"/>
      <c r="O32" s="66"/>
    </row>
    <row r="33" spans="2:15" ht="33" customHeight="1" x14ac:dyDescent="0.25">
      <c r="B33" s="44">
        <v>4</v>
      </c>
      <c r="C33" s="66" t="s">
        <v>60</v>
      </c>
      <c r="D33" s="66"/>
      <c r="E33" s="66"/>
      <c r="F33" s="66"/>
      <c r="G33" s="66"/>
      <c r="H33" s="66"/>
      <c r="I33" s="66"/>
      <c r="J33" s="66"/>
      <c r="K33" s="66"/>
      <c r="L33" s="66"/>
      <c r="M33" s="66"/>
      <c r="N33" s="66"/>
      <c r="O33" s="66"/>
    </row>
    <row r="34" spans="2:15" ht="46.5" customHeight="1" x14ac:dyDescent="0.25">
      <c r="B34" s="44">
        <v>5</v>
      </c>
      <c r="C34" s="66" t="s">
        <v>49</v>
      </c>
      <c r="D34" s="66"/>
      <c r="E34" s="66"/>
      <c r="F34" s="66"/>
      <c r="G34" s="66"/>
      <c r="H34" s="66"/>
      <c r="I34" s="66"/>
      <c r="J34" s="66"/>
      <c r="K34" s="66"/>
      <c r="L34" s="66"/>
      <c r="M34" s="66"/>
      <c r="N34" s="66"/>
      <c r="O34" s="66"/>
    </row>
    <row r="35" spans="2:15" ht="21.75" customHeight="1" x14ac:dyDescent="0.25"/>
    <row r="37" spans="2:15" x14ac:dyDescent="0.25">
      <c r="B37" s="60" t="s">
        <v>14</v>
      </c>
      <c r="C37" s="60"/>
      <c r="D37" s="60"/>
      <c r="E37" s="60"/>
      <c r="F37" s="60"/>
      <c r="G37" s="60"/>
      <c r="H37" s="60"/>
      <c r="I37" s="60"/>
      <c r="J37" s="60"/>
      <c r="K37" s="60"/>
      <c r="L37" s="60"/>
      <c r="M37" s="60"/>
      <c r="N37" s="60"/>
      <c r="O37" s="60"/>
    </row>
  </sheetData>
  <sheetProtection algorithmName="SHA-512" hashValue="FeHoKuRG8thbyZ+1HPphRZLSsoMURHI/50lS6NG7B1LSzk49Qy8JiClpCyINo68JPRHMVUts2mEWF4UYlB4X6A==" saltValue="v+XQcy+ZC/rOb4g1DfiHQg==" spinCount="100000" sheet="1" objects="1" scenarios="1" selectLockedCells="1"/>
  <mergeCells count="10">
    <mergeCell ref="C32:O32"/>
    <mergeCell ref="C33:O33"/>
    <mergeCell ref="C34:O34"/>
    <mergeCell ref="B37:O37"/>
    <mergeCell ref="H2:O2"/>
    <mergeCell ref="D10:E10"/>
    <mergeCell ref="B14:E14"/>
    <mergeCell ref="B15:E15"/>
    <mergeCell ref="B23:F23"/>
    <mergeCell ref="B24:G24"/>
  </mergeCells>
  <hyperlinks>
    <hyperlink ref="B14" r:id="rId1" display="Will you enroll in DU's health insurance plan?" xr:uid="{3C09F77A-BD69-4465-8534-D4F1C5ED0E8E}"/>
    <hyperlink ref="B15" r:id="rId2" display="Will you use DU Health &amp; Counseling Services? " xr:uid="{7E276203-333D-4ECC-A93C-370DD9AAAF5B}"/>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13B0323C-BBE8-488A-99A6-997C0E33158E}">
          <x14:formula1>
            <xm:f>Data!$A$2:$A$22</xm:f>
          </x14:formula1>
          <xm:sqref>N6 J6 L6</xm:sqref>
        </x14:dataValidation>
        <x14:dataValidation type="list" allowBlank="1" showInputMessage="1" showErrorMessage="1" xr:uid="{6DA5516F-B1BC-4D6A-B9D7-B0DF83C40195}">
          <x14:formula1>
            <xm:f>Data!$A$25:$A$26</xm:f>
          </x14:formula1>
          <xm:sqref>F14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C10D5-B9BF-4CCE-BD2C-792E75437C4F}">
  <sheetPr>
    <pageSetUpPr fitToPage="1"/>
  </sheetPr>
  <dimension ref="B1:O37"/>
  <sheetViews>
    <sheetView showGridLines="0" showRowColHeaders="0" showRuler="0" zoomScaleNormal="100" workbookViewId="0">
      <selection activeCell="J6" sqref="J6"/>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H2" s="67" t="s">
        <v>78</v>
      </c>
      <c r="I2" s="68"/>
      <c r="J2" s="68"/>
      <c r="K2" s="68"/>
      <c r="L2" s="68"/>
      <c r="M2" s="68"/>
      <c r="N2" s="68"/>
      <c r="O2" s="68"/>
    </row>
    <row r="3" spans="2:15" ht="8.25" customHeight="1" x14ac:dyDescent="0.25">
      <c r="B3" s="19"/>
      <c r="C3" s="19"/>
      <c r="D3" s="19"/>
      <c r="E3" s="19"/>
      <c r="F3" s="19"/>
      <c r="G3" s="19"/>
      <c r="H3" s="20"/>
      <c r="I3" s="21"/>
      <c r="J3" s="21"/>
      <c r="K3" s="21"/>
      <c r="L3" s="21"/>
      <c r="M3" s="21"/>
      <c r="N3" s="21"/>
      <c r="O3" s="21"/>
    </row>
    <row r="4" spans="2:15" ht="15.75" customHeight="1" x14ac:dyDescent="0.25">
      <c r="J4" s="43"/>
      <c r="L4" s="43"/>
      <c r="N4" s="43"/>
    </row>
    <row r="5" spans="2:15" ht="15.75" customHeight="1" x14ac:dyDescent="0.25">
      <c r="J5" s="43" t="s">
        <v>69</v>
      </c>
      <c r="L5" s="43" t="s">
        <v>70</v>
      </c>
      <c r="N5" s="43" t="s">
        <v>71</v>
      </c>
    </row>
    <row r="6" spans="2:15" ht="18" customHeight="1" x14ac:dyDescent="0.3">
      <c r="D6" s="6" t="s">
        <v>15</v>
      </c>
      <c r="E6" s="27"/>
      <c r="F6" s="27"/>
      <c r="G6" s="27"/>
      <c r="H6" s="27"/>
      <c r="I6" s="27"/>
      <c r="J6" s="42" t="s">
        <v>55</v>
      </c>
      <c r="L6" s="42" t="s">
        <v>55</v>
      </c>
      <c r="M6" s="22"/>
      <c r="N6" s="42" t="s">
        <v>55</v>
      </c>
      <c r="O6" s="27"/>
    </row>
    <row r="7" spans="2:15" ht="6" customHeight="1" x14ac:dyDescent="0.25"/>
    <row r="8" spans="2:15" ht="15.75" thickBot="1" x14ac:dyDescent="0.3">
      <c r="B8" s="1" t="s">
        <v>7</v>
      </c>
      <c r="C8" s="1"/>
      <c r="D8" s="2"/>
      <c r="E8" s="2"/>
      <c r="F8" s="2"/>
      <c r="G8" s="2"/>
      <c r="H8" s="4" t="s">
        <v>3</v>
      </c>
      <c r="I8" s="3"/>
      <c r="J8" s="4" t="s">
        <v>72</v>
      </c>
      <c r="K8" s="3"/>
      <c r="L8" s="4" t="s">
        <v>73</v>
      </c>
      <c r="M8" s="4"/>
      <c r="N8" s="4" t="s">
        <v>74</v>
      </c>
      <c r="O8" s="2"/>
    </row>
    <row r="9" spans="2:15" ht="9" customHeight="1" x14ac:dyDescent="0.25"/>
    <row r="10" spans="2:15" ht="21.75" customHeight="1" x14ac:dyDescent="0.25">
      <c r="B10" s="9" t="s">
        <v>1</v>
      </c>
      <c r="C10" s="9"/>
      <c r="D10" s="69"/>
      <c r="E10" s="69"/>
      <c r="F10" s="10"/>
      <c r="G10" s="10"/>
      <c r="H10" s="11">
        <f>J10+L10+N10</f>
        <v>0</v>
      </c>
      <c r="I10" s="10"/>
      <c r="J10" s="11">
        <f>VLOOKUP(J6,Data!A2:E22,2,FALSE)</f>
        <v>0</v>
      </c>
      <c r="K10" s="10"/>
      <c r="L10" s="11">
        <f>VLOOKUP(L6,Data!A2:E22,2,FALSE)</f>
        <v>0</v>
      </c>
      <c r="M10" s="11"/>
      <c r="N10" s="11">
        <f>VLOOKUP(N6,Data!A2:E22,2,FALSE)</f>
        <v>0</v>
      </c>
      <c r="O10" s="10"/>
    </row>
    <row r="11" spans="2:15" ht="21.75" customHeight="1" x14ac:dyDescent="0.25">
      <c r="B11" s="34" t="s">
        <v>0</v>
      </c>
      <c r="C11" s="34"/>
    </row>
    <row r="12" spans="2:15" ht="21.75" customHeight="1" x14ac:dyDescent="0.25">
      <c r="B12" s="12" t="s">
        <v>2</v>
      </c>
      <c r="C12" s="12"/>
      <c r="D12" s="10"/>
      <c r="E12" s="10"/>
      <c r="F12" s="10"/>
      <c r="G12" s="10"/>
      <c r="H12" s="11">
        <f>J12+L12+N12</f>
        <v>0</v>
      </c>
      <c r="I12" s="10"/>
      <c r="J12" s="11">
        <f>VLOOKUP(J6,Data!A2:E22,5,FALSE)</f>
        <v>0</v>
      </c>
      <c r="K12" s="10"/>
      <c r="L12" s="11">
        <f>VLOOKUP(L6,Data!A2:E22,5,FALSE)</f>
        <v>0</v>
      </c>
      <c r="M12" s="11"/>
      <c r="N12" s="11">
        <f>VLOOKUP(N6,Data!A2:E22,5,FALSE)</f>
        <v>0</v>
      </c>
      <c r="O12" s="10"/>
    </row>
    <row r="13" spans="2:15" ht="21.75" customHeight="1" x14ac:dyDescent="0.25">
      <c r="B13" s="36" t="s">
        <v>17</v>
      </c>
      <c r="C13" s="36"/>
      <c r="H13" s="5">
        <f>J13+L13+N13</f>
        <v>0</v>
      </c>
      <c r="J13" s="5">
        <f>IF(AND(J6&lt;&gt;"not enrolled", J6&lt;&gt;"select"), 57, 0)</f>
        <v>0</v>
      </c>
      <c r="L13" s="5">
        <f>IF(AND(L6&lt;&gt;"not enrolled", L6&lt;&gt;"select"), 57, 0)</f>
        <v>0</v>
      </c>
      <c r="N13" s="5">
        <f>IF(AND(N6&lt;&gt;"not enrolled", N6&lt;&gt;"select"), 57, 0)</f>
        <v>0</v>
      </c>
    </row>
    <row r="14" spans="2:15" ht="21.75" customHeight="1" x14ac:dyDescent="0.25">
      <c r="B14" s="70" t="s">
        <v>45</v>
      </c>
      <c r="C14" s="70"/>
      <c r="D14" s="70"/>
      <c r="E14" s="71"/>
      <c r="F14" s="29"/>
      <c r="G14" s="10"/>
      <c r="H14" s="28">
        <f>J14+L14+N14</f>
        <v>0</v>
      </c>
      <c r="I14" s="10"/>
      <c r="J14" s="28">
        <f>IF(AND(F14="Yes", J6&lt;&gt;"not enrolled"), (VLOOKUP(F14, Data!A25:C26, 2, FALSE)), 0)</f>
        <v>0</v>
      </c>
      <c r="K14" s="10"/>
      <c r="L14" s="28">
        <v>0</v>
      </c>
      <c r="M14" s="28"/>
      <c r="N14" s="28">
        <f>IF(AND(F14="Yes", N6&lt;&gt;"not enrolled"), (VLOOKUP(F14, Data!A25:C26, 2, FALSE)), 0)</f>
        <v>0</v>
      </c>
      <c r="O14" s="10"/>
    </row>
    <row r="15" spans="2:15" ht="21.75" customHeight="1" x14ac:dyDescent="0.25">
      <c r="B15" s="72" t="s">
        <v>57</v>
      </c>
      <c r="C15" s="72"/>
      <c r="D15" s="72"/>
      <c r="E15" s="72"/>
      <c r="F15" s="59"/>
      <c r="G15" s="30"/>
      <c r="H15" s="31">
        <f>J15+L15+N15</f>
        <v>0</v>
      </c>
      <c r="I15" s="30"/>
      <c r="J15" s="58">
        <f>IF(AND(J6&lt;&gt;"select", J6&lt;&gt;"not enrolled",J6&lt;&gt;"4 credits",J6&lt;&gt;"5 credits",J6&lt;&gt;"6 credits",J6&lt;&gt;"7 credits"), 250, 0)</f>
        <v>0</v>
      </c>
      <c r="K15" s="30"/>
      <c r="L15" s="58">
        <f>IF(AND(L6&lt;&gt;"select", L6&lt;&gt;"not enrolled",L6&lt;&gt;"4 credits",L6&lt;&gt;"5 credits",L6&lt;&gt;"6 credits",L6&lt;&gt;"7 credits"), 250, 0)</f>
        <v>0</v>
      </c>
      <c r="M15" s="31"/>
      <c r="N15" s="58">
        <f>IF(AND(N6&lt;&gt;"select", N6&lt;&gt;"not enrolled",N6&lt;&gt;"4 credits",N6&lt;&gt;"5 credits",N6&lt;&gt;"6 credits",N6&lt;&gt;"7 credits"), 250, 0)</f>
        <v>0</v>
      </c>
      <c r="O15" s="30"/>
    </row>
    <row r="16" spans="2:15" ht="21.75" customHeight="1" x14ac:dyDescent="0.25">
      <c r="D16" s="7" t="s">
        <v>6</v>
      </c>
      <c r="H16" s="8">
        <f>SUM(H10, H12:H15)</f>
        <v>0</v>
      </c>
      <c r="J16" s="8">
        <f>SUM(J10,J12:J15)</f>
        <v>0</v>
      </c>
      <c r="L16" s="8">
        <f>SUM(L10,L12:L15)</f>
        <v>0</v>
      </c>
      <c r="M16" s="8"/>
      <c r="N16" s="8">
        <f>SUM(N10,N12:N15)</f>
        <v>0</v>
      </c>
    </row>
    <row r="17" spans="2:15" ht="24" customHeight="1" x14ac:dyDescent="0.25"/>
    <row r="18" spans="2:15" ht="15.75" thickBot="1" x14ac:dyDescent="0.3">
      <c r="B18" s="1" t="s">
        <v>11</v>
      </c>
      <c r="C18" s="1"/>
      <c r="D18" s="2"/>
      <c r="E18" s="2"/>
      <c r="F18" s="2"/>
      <c r="G18" s="2"/>
      <c r="H18" s="4" t="s">
        <v>3</v>
      </c>
      <c r="I18" s="3"/>
      <c r="J18" s="4" t="s">
        <v>72</v>
      </c>
      <c r="K18" s="3"/>
      <c r="L18" s="4" t="s">
        <v>73</v>
      </c>
      <c r="M18" s="4"/>
      <c r="N18" s="4" t="s">
        <v>74</v>
      </c>
      <c r="O18" s="2"/>
    </row>
    <row r="19" spans="2:15" ht="21.75" customHeight="1" x14ac:dyDescent="0.25">
      <c r="B19" t="s">
        <v>16</v>
      </c>
      <c r="H19" s="15"/>
      <c r="J19" s="5">
        <f>IF((AND(J6&lt;&gt;"not enrolled", L6&lt;&gt;"not enrolled", N6&lt;&gt;"not enrolled")), (H19/3), IF((AND(J6&lt;&gt;"not enrolled", L6&lt;&gt;"not enrolled", N6="not enrolled")), (H19/2), IF((AND(J6&lt;&gt;"not enrolled", L6="not enrolled", N6="not enrolled")), (H19/1), 0)))</f>
        <v>0</v>
      </c>
      <c r="L19" s="5">
        <f>IF((AND(J6&lt;&gt;"not enrolled", L6&lt;&gt;"not enrolled", N6&lt;&gt;"not enrolled")), (H19/3), IF((AND(J6&lt;&gt;"not enrolled", L6&lt;&gt;"not enrolled", N6="not enrolled")), (H19/2), IF((AND(J6="not enrolled", L6&lt;&gt;"not enrolled", N6&lt;&gt;"not enrolled")), (H19/2), 0)))</f>
        <v>0</v>
      </c>
      <c r="N19" s="5">
        <f>IF((AND(J6&lt;&gt;"not enrolled", L6&lt;&gt;"not enrolled", N6&lt;&gt;"not enrolled")), (H19/3), IF((AND(J6="not enrolled", L6&lt;&gt;"not enrolled", N6&lt;&gt;"not enrolled")), (H19/2), IF((AND(J6="not enrolled", L6="not enrolled", N6&lt;&gt;"not enrolled")), (H19), 0)))</f>
        <v>0</v>
      </c>
    </row>
    <row r="20" spans="2:15" ht="21.75" customHeight="1" x14ac:dyDescent="0.25">
      <c r="B20" s="10" t="s">
        <v>8</v>
      </c>
      <c r="C20" s="10"/>
      <c r="D20" s="10"/>
      <c r="E20" s="10"/>
      <c r="F20" s="10"/>
      <c r="G20" s="10"/>
      <c r="H20" s="16"/>
      <c r="I20" s="10"/>
      <c r="J20" s="11">
        <f>IF((AND(J6&lt;&gt;"not enrolled", L6&lt;&gt;"not enrolled", N6&lt;&gt;"not enrolled")), (H20/3), IF((AND(J6&lt;&gt;"not enrolled", L6&lt;&gt;"not enrolled", N6="not enrolled")), (H20/2), IF((AND(J6&lt;&gt;"not enrolled", L6="not enrolled", N6="not enrolled")), (H20/1), 0)))</f>
        <v>0</v>
      </c>
      <c r="K20" s="10"/>
      <c r="L20" s="11">
        <f>IF((AND(J6&lt;&gt;"not enrolled", L6&lt;&gt;"not enrolled", N6&lt;&gt;"not enrolled")), (H20/3), IF((AND(J6&lt;&gt;"not enrolled", L6&lt;&gt;"not enrolled", N6="not enrolled")), (H20/2), IF((AND(J6="not enrolled", L6&lt;&gt;"not enrolled", N6&lt;&gt;"not enrolled")), (H20/2), 0)))</f>
        <v>0</v>
      </c>
      <c r="M20" s="11"/>
      <c r="N20" s="11">
        <f>IF((AND(J6&lt;&gt;"not enrolled", L6&lt;&gt;"not enrolled", N6&lt;&gt;"not enrolled")), (H20/3), IF((AND(J6="not enrolled", L6&lt;&gt;"not enrolled", N6&lt;&gt;"not enrolled")), (H20/2), IF((AND(J6="not enrolled", L6="not enrolled", N6&lt;&gt;"not enrolled")), (H20), 0)))</f>
        <v>0</v>
      </c>
      <c r="O20" s="10"/>
    </row>
    <row r="21" spans="2:15" ht="21.75" customHeight="1" x14ac:dyDescent="0.25">
      <c r="B21" t="s">
        <v>58</v>
      </c>
      <c r="F21" s="17"/>
      <c r="H21" s="5">
        <f>SUM(J21,L21,N21)</f>
        <v>0</v>
      </c>
      <c r="J21" s="5">
        <f>IF((AND(J6&lt;&gt;"not enrolled", L6&lt;&gt;"not enrolled", N6&lt;&gt;"not enrolled")), ROUND(((F21-(F21*0.01057))/3),0), IF((AND(J6&lt;&gt;"not enrolled", L6&lt;&gt;"not enrolled", N6="not enrolled")), ROUND(((F21-(F21*0.01057))/2),0), IF((AND(J6&lt;&gt;"not enrolled", L6="not enrolled", N6="not enrolled")), ROUND(((F21-(F21*0.01057))/1),0), 0)))</f>
        <v>0</v>
      </c>
      <c r="L21" s="5">
        <f>IF((AND(J6&lt;&gt;"not enrolled", L6&lt;&gt;"not enrolled", N6&lt;&gt;"not enrolled")), ROUND(((F21-(F21*0.01057))/3),0), IF((AND(J6&lt;&gt;"not enrolled", L6&lt;&gt;"not enrolled", N6="not enrolled")), ROUND(((F21-(F21*0.01057))/2),0), IF((AND(J6="not enrolled", L6&lt;&gt;"not enrolled", N6&lt;&gt;"not enrolled")), ROUND(((F21-(F21*0.01057))/2),0), 0)))</f>
        <v>0</v>
      </c>
      <c r="N21" s="5">
        <f>IF((AND(J6&lt;&gt;"not enrolled", L6&lt;&gt;"not enrolled", N6&lt;&gt;"not enrolled")), ROUND(((F21-(F21*0.01057))/3),0), IF((AND(J6="not enrolled", L6&lt;&gt;"not enrolled", N6&lt;&gt;"not enrolled")), ROUND(((F21-(F21*0.01057))/2),0), IF((AND(J6="not enrolled", L6="not enrolled", N6&lt;&gt;"not enrolled")), ROUND(((F21-(F21*0.01057))/1),0), 0)))</f>
        <v>0</v>
      </c>
    </row>
    <row r="22" spans="2:15" ht="21.75" customHeight="1" x14ac:dyDescent="0.25">
      <c r="B22" s="10" t="s">
        <v>59</v>
      </c>
      <c r="C22" s="10"/>
      <c r="D22" s="10"/>
      <c r="E22" s="10"/>
      <c r="F22" s="17"/>
      <c r="G22" s="10"/>
      <c r="H22" s="11">
        <f>SUM(J22,L22,N22)</f>
        <v>0</v>
      </c>
      <c r="I22" s="10"/>
      <c r="J22" s="11">
        <f>IF((AND(J6&lt;&gt;"not enrolled", L6&lt;&gt;"not enrolled", N6&lt;&gt;"not enrolled")), ROUND(((F22-(F22*0.04228))/3),0), IF((AND(J6&lt;&gt;"not enrolled", L6&lt;&gt;"not enrolled", N6="not enrolled")), ROUND(((F22-(F22*0.04228))/2),0), IF((AND(J6&lt;&gt;"not enrolled", L6="not enrolled", N6="not enrolled")), ROUND(((F22-(F22*0.04228))/1),0), 0)))</f>
        <v>0</v>
      </c>
      <c r="K22" s="10"/>
      <c r="L22" s="11">
        <f>IF((AND(J6&lt;&gt;"not enrolled", L6&lt;&gt;"not enrolled", N6&lt;&gt;"not enrolled")), ROUND(((F22-(F22*0.04228))/3),0), IF((AND(J6&lt;&gt;"not enrolled", L6&lt;&gt;"not enrolled", N6="not enrolled")), ROUND(((F22-(F22*0.04228))/2),0), IF((AND(J6="not enrolled", L6&lt;&gt;"not enrolled", N6&lt;&gt;"not enrolled")), ROUND(((F22-(F22*0.04228))/2),0), 0)))</f>
        <v>0</v>
      </c>
      <c r="M22" s="11"/>
      <c r="N22" s="11">
        <f>IF((AND(J6&lt;&gt;"not enrolled", L6&lt;&gt;"not enrolled", N6&lt;&gt;"not enrolled")), ROUND(((F22-(F22*0.04228))/3),0), IF((AND(J6="not enrolled", L6&lt;&gt;"not enrolled", N6&lt;&gt;"not enrolled")), ROUND(((F22-(F22*0.04228))/2),0), IF((AND(J6="not enrolled", L6="not enrolled", N6&lt;&gt;"not enrolled")), ROUND(((F22-(F22*0.04228))/1),0), 0)))</f>
        <v>0</v>
      </c>
      <c r="O22" s="10"/>
    </row>
    <row r="23" spans="2:15" ht="21.75" customHeight="1" x14ac:dyDescent="0.25">
      <c r="B23" s="64" t="s">
        <v>22</v>
      </c>
      <c r="C23" s="64"/>
      <c r="D23" s="64"/>
      <c r="E23" s="64"/>
      <c r="F23" s="64"/>
      <c r="H23" s="16"/>
      <c r="J23" s="5">
        <f>IF((AND(J6&lt;&gt;"not enrolled", L6&lt;&gt;"not enrolled", N6&lt;&gt;"not enrolled")), (H23/3), IF((AND(J6&lt;&gt;"not enrolled", L6&lt;&gt;"not enrolled", N6="not enrolled")), (H23/2), IF((AND(J6&lt;&gt;"not enrolled", L6="not enrolled", N6="not enrolled")), (H23/1), 0)))</f>
        <v>0</v>
      </c>
      <c r="L23" s="5">
        <f>IF((AND(J6&lt;&gt;"not enrolled", L6&lt;&gt;"not enrolled", N6&lt;&gt;"not enrolled")), (H23/3), IF((AND(J6&lt;&gt;"not enrolled", L6&lt;&gt;"not enrolled", N6="not enrolled")), (H23/2), IF((AND(J6="not enrolled", L6&lt;&gt;"not enrolled", N6&lt;&gt;"not enrolled")), (H23/2), 0)))</f>
        <v>0</v>
      </c>
      <c r="N23" s="5">
        <f>IF((AND(J6&lt;&gt;"not enrolled", L6&lt;&gt;"not enrolled", N6&lt;&gt;"not enrolled")), (H23/3), IF((AND(J6="not enrolled", L6&lt;&gt;"not enrolled", N6&lt;&gt;"not enrolled")), (H23/2), IF((AND(J6="not enrolled", L6="not enrolled", N6&lt;&gt;"not enrolled")), (H23), 0)))</f>
        <v>0</v>
      </c>
    </row>
    <row r="24" spans="2:15" ht="21.75" customHeight="1" x14ac:dyDescent="0.25">
      <c r="B24" s="65" t="s">
        <v>23</v>
      </c>
      <c r="C24" s="65"/>
      <c r="D24" s="65"/>
      <c r="E24" s="65"/>
      <c r="F24" s="65"/>
      <c r="G24" s="65"/>
      <c r="H24" s="26">
        <f>J24+L24+N24</f>
        <v>0</v>
      </c>
      <c r="I24" s="25"/>
      <c r="J24" s="18"/>
      <c r="K24" s="25"/>
      <c r="L24" s="18"/>
      <c r="M24" s="32"/>
      <c r="N24" s="48"/>
      <c r="O24" s="25"/>
    </row>
    <row r="25" spans="2:15" ht="21.75" customHeight="1" x14ac:dyDescent="0.25">
      <c r="D25" s="7" t="s">
        <v>10</v>
      </c>
      <c r="H25" s="5">
        <f>SUM(H19:H24)</f>
        <v>0</v>
      </c>
      <c r="J25" s="5">
        <f>SUM(J19:J24)</f>
        <v>0</v>
      </c>
      <c r="L25" s="5">
        <f>SUM(L19:L23,L24)</f>
        <v>0</v>
      </c>
      <c r="N25" s="5">
        <f>SUM(N19:N23,N24)</f>
        <v>0</v>
      </c>
    </row>
    <row r="26" spans="2:15" ht="15.75" thickBot="1" x14ac:dyDescent="0.3"/>
    <row r="27" spans="2:15" ht="21.75" customHeight="1" thickTop="1" thickBot="1" x14ac:dyDescent="0.35">
      <c r="B27" s="14" t="s">
        <v>12</v>
      </c>
      <c r="C27" s="14"/>
      <c r="D27" s="13"/>
      <c r="E27" s="13"/>
      <c r="F27" s="13"/>
      <c r="G27" s="13"/>
      <c r="H27" s="23">
        <f>H16-H25</f>
        <v>0</v>
      </c>
      <c r="I27" s="24"/>
      <c r="J27" s="23">
        <f>J16-J25</f>
        <v>0</v>
      </c>
      <c r="K27" s="24"/>
      <c r="L27" s="23">
        <f>L16-L25</f>
        <v>0</v>
      </c>
      <c r="M27" s="23"/>
      <c r="N27" s="23">
        <f>N16-N25</f>
        <v>0</v>
      </c>
      <c r="O27" s="13"/>
    </row>
    <row r="28" spans="2:15" ht="15.75" thickTop="1" x14ac:dyDescent="0.25"/>
    <row r="29" spans="2:15" x14ac:dyDescent="0.25">
      <c r="B29" s="7" t="s">
        <v>13</v>
      </c>
      <c r="C29" s="7"/>
    </row>
    <row r="30" spans="2:15" ht="21.75" customHeight="1" x14ac:dyDescent="0.25">
      <c r="B30" s="47">
        <v>1</v>
      </c>
      <c r="C30" t="s">
        <v>79</v>
      </c>
      <c r="D30" s="46"/>
      <c r="E30" s="46"/>
      <c r="F30" s="46"/>
      <c r="G30" s="46"/>
      <c r="H30" s="46"/>
      <c r="I30" s="46"/>
      <c r="J30" s="46"/>
      <c r="K30" s="46"/>
      <c r="L30" s="46"/>
      <c r="M30" s="46"/>
      <c r="N30" s="46"/>
      <c r="O30" s="46"/>
    </row>
    <row r="31" spans="2:15" ht="18" customHeight="1" x14ac:dyDescent="0.25">
      <c r="B31" s="45">
        <v>2</v>
      </c>
      <c r="C31" t="s">
        <v>46</v>
      </c>
      <c r="H31"/>
      <c r="J31"/>
      <c r="L31"/>
      <c r="M31"/>
      <c r="N31"/>
    </row>
    <row r="32" spans="2:15" ht="32.25" customHeight="1" x14ac:dyDescent="0.25">
      <c r="B32" s="44">
        <v>3</v>
      </c>
      <c r="C32" s="66" t="s">
        <v>88</v>
      </c>
      <c r="D32" s="66"/>
      <c r="E32" s="66"/>
      <c r="F32" s="66"/>
      <c r="G32" s="66"/>
      <c r="H32" s="66"/>
      <c r="I32" s="66"/>
      <c r="J32" s="66"/>
      <c r="K32" s="66"/>
      <c r="L32" s="66"/>
      <c r="M32" s="66"/>
      <c r="N32" s="66"/>
      <c r="O32" s="66"/>
    </row>
    <row r="33" spans="2:15" ht="33" customHeight="1" x14ac:dyDescent="0.25">
      <c r="B33" s="44">
        <v>4</v>
      </c>
      <c r="C33" s="66" t="s">
        <v>60</v>
      </c>
      <c r="D33" s="66"/>
      <c r="E33" s="66"/>
      <c r="F33" s="66"/>
      <c r="G33" s="66"/>
      <c r="H33" s="66"/>
      <c r="I33" s="66"/>
      <c r="J33" s="66"/>
      <c r="K33" s="66"/>
      <c r="L33" s="66"/>
      <c r="M33" s="66"/>
      <c r="N33" s="66"/>
      <c r="O33" s="66"/>
    </row>
    <row r="34" spans="2:15" ht="46.5" customHeight="1" x14ac:dyDescent="0.25">
      <c r="B34" s="44">
        <v>5</v>
      </c>
      <c r="C34" s="66" t="s">
        <v>49</v>
      </c>
      <c r="D34" s="66"/>
      <c r="E34" s="66"/>
      <c r="F34" s="66"/>
      <c r="G34" s="66"/>
      <c r="H34" s="66"/>
      <c r="I34" s="66"/>
      <c r="J34" s="66"/>
      <c r="K34" s="66"/>
      <c r="L34" s="66"/>
      <c r="M34" s="66"/>
      <c r="N34" s="66"/>
      <c r="O34" s="66"/>
    </row>
    <row r="35" spans="2:15" ht="21.75" customHeight="1" x14ac:dyDescent="0.25"/>
    <row r="37" spans="2:15" x14ac:dyDescent="0.25">
      <c r="B37" s="60" t="s">
        <v>14</v>
      </c>
      <c r="C37" s="60"/>
      <c r="D37" s="60"/>
      <c r="E37" s="60"/>
      <c r="F37" s="60"/>
      <c r="G37" s="60"/>
      <c r="H37" s="60"/>
      <c r="I37" s="60"/>
      <c r="J37" s="60"/>
      <c r="K37" s="60"/>
      <c r="L37" s="60"/>
      <c r="M37" s="60"/>
      <c r="N37" s="60"/>
      <c r="O37" s="60"/>
    </row>
  </sheetData>
  <sheetProtection algorithmName="SHA-512" hashValue="JYfeb3OThQgEin7oFdGKg2FCVAfSXi6fldGPIdoQF5eoReCZwG+SKNvnZWQjRprnX374Qv9ZOpoLGz4UTnYNsg==" saltValue="1yHrLDcu/80ZqPhCp8321A==" spinCount="100000" sheet="1" objects="1" scenarios="1" selectLockedCells="1"/>
  <mergeCells count="10">
    <mergeCell ref="C32:O32"/>
    <mergeCell ref="C33:O33"/>
    <mergeCell ref="C34:O34"/>
    <mergeCell ref="B37:O37"/>
    <mergeCell ref="H2:O2"/>
    <mergeCell ref="D10:E10"/>
    <mergeCell ref="B14:E14"/>
    <mergeCell ref="B15:E15"/>
    <mergeCell ref="B23:F23"/>
    <mergeCell ref="B24:G24"/>
  </mergeCells>
  <hyperlinks>
    <hyperlink ref="B14" r:id="rId1" display="Will you enroll in DU's health insurance plan?" xr:uid="{2DFA319A-E823-4C44-9582-652A9DAB6580}"/>
    <hyperlink ref="B15" r:id="rId2" display="Will you use DU Health &amp; Counseling Services? " xr:uid="{8E81B37B-447B-4C0F-AA9B-D805475DA73F}"/>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3DE0F51A-4F38-499A-8ADE-DE809D3840A8}">
          <x14:formula1>
            <xm:f>Data!$A$25:$A$26</xm:f>
          </x14:formula1>
          <xm:sqref>F14</xm:sqref>
        </x14:dataValidation>
        <x14:dataValidation type="list" allowBlank="1" showInputMessage="1" showErrorMessage="1" xr:uid="{28C978ED-BDB9-430D-A8C1-D68D92624455}">
          <x14:formula1>
            <xm:f>Data!$A$2:$A$22</xm:f>
          </x14:formula1>
          <xm:sqref>N6 J6 L6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33"/>
  <sheetViews>
    <sheetView showGridLines="0" showRowColHeaders="0" showRuler="0" zoomScaleNormal="100" workbookViewId="0">
      <selection activeCell="I7" sqref="I7"/>
    </sheetView>
  </sheetViews>
  <sheetFormatPr defaultColWidth="8.85546875" defaultRowHeight="15" x14ac:dyDescent="0.25"/>
  <cols>
    <col min="1" max="1" width="4.140625" customWidth="1"/>
    <col min="4" max="4" width="14" customWidth="1"/>
    <col min="5" max="5" width="13.85546875" customWidth="1"/>
    <col min="6" max="6" width="4.28515625" customWidth="1"/>
    <col min="7" max="7" width="15" style="5" customWidth="1"/>
    <col min="8" max="8" width="2.85546875" customWidth="1"/>
    <col min="9" max="9" width="15" style="5" customWidth="1"/>
    <col min="10" max="10" width="2.85546875" customWidth="1"/>
    <col min="11" max="11" width="15" style="5" customWidth="1"/>
    <col min="12" max="12" width="2.85546875" style="5" customWidth="1"/>
    <col min="13" max="13" width="15" style="5" customWidth="1"/>
    <col min="14" max="14" width="2.85546875" style="5" customWidth="1"/>
    <col min="15" max="15" width="15" style="5" customWidth="1"/>
  </cols>
  <sheetData>
    <row r="1" spans="2:15" ht="17.25" customHeight="1" x14ac:dyDescent="0.25"/>
    <row r="2" spans="2:15" ht="47.25" customHeight="1" x14ac:dyDescent="0.35">
      <c r="G2" s="61" t="s">
        <v>80</v>
      </c>
      <c r="H2" s="61"/>
      <c r="I2" s="61"/>
      <c r="J2" s="61"/>
      <c r="K2" s="61"/>
      <c r="L2" s="61"/>
      <c r="M2" s="61"/>
      <c r="N2" s="61"/>
      <c r="O2" s="61"/>
    </row>
    <row r="3" spans="2:15" ht="8.25" customHeight="1" x14ac:dyDescent="0.25">
      <c r="B3" s="19"/>
      <c r="C3" s="19"/>
      <c r="D3" s="19"/>
      <c r="E3" s="19"/>
      <c r="F3" s="19"/>
      <c r="G3" s="20"/>
      <c r="H3" s="21"/>
      <c r="I3" s="21"/>
      <c r="J3" s="21"/>
      <c r="K3" s="21"/>
      <c r="L3" s="21"/>
      <c r="M3" s="21"/>
      <c r="N3" s="21"/>
      <c r="O3" s="21"/>
    </row>
    <row r="4" spans="2:15" ht="9.75" customHeight="1" x14ac:dyDescent="0.25"/>
    <row r="5" spans="2:15" ht="9.75" customHeight="1" x14ac:dyDescent="0.25"/>
    <row r="6" spans="2:15" ht="15" customHeight="1" x14ac:dyDescent="0.25">
      <c r="I6" s="52" t="s">
        <v>69</v>
      </c>
      <c r="K6" s="52" t="s">
        <v>70</v>
      </c>
      <c r="L6" s="33"/>
      <c r="M6" s="52" t="s">
        <v>71</v>
      </c>
      <c r="N6" s="33"/>
      <c r="O6" s="52" t="s">
        <v>81</v>
      </c>
    </row>
    <row r="7" spans="2:15" ht="18" customHeight="1" x14ac:dyDescent="0.3">
      <c r="C7" s="6" t="s">
        <v>42</v>
      </c>
      <c r="E7" s="27"/>
      <c r="F7" s="27"/>
      <c r="G7" s="27"/>
      <c r="H7" s="27"/>
      <c r="I7" s="49" t="s">
        <v>55</v>
      </c>
      <c r="K7" s="50" t="s">
        <v>55</v>
      </c>
      <c r="L7"/>
      <c r="M7" s="51" t="s">
        <v>55</v>
      </c>
      <c r="N7"/>
      <c r="O7" s="51" t="s">
        <v>55</v>
      </c>
    </row>
    <row r="8" spans="2:15" ht="18.75" customHeight="1" x14ac:dyDescent="0.25"/>
    <row r="9" spans="2:15" ht="15.75" thickBot="1" x14ac:dyDescent="0.3">
      <c r="B9" s="1" t="s">
        <v>7</v>
      </c>
      <c r="C9" s="2"/>
      <c r="D9" s="2"/>
      <c r="E9" s="2"/>
      <c r="F9" s="2"/>
      <c r="G9" s="4" t="s">
        <v>3</v>
      </c>
      <c r="H9" s="3"/>
      <c r="I9" s="4" t="s">
        <v>72</v>
      </c>
      <c r="J9" s="3"/>
      <c r="K9" s="4" t="s">
        <v>73</v>
      </c>
      <c r="L9" s="4"/>
      <c r="M9" s="4" t="s">
        <v>74</v>
      </c>
      <c r="N9" s="4"/>
      <c r="O9" s="4" t="s">
        <v>82</v>
      </c>
    </row>
    <row r="10" spans="2:15" ht="9" customHeight="1" x14ac:dyDescent="0.25"/>
    <row r="11" spans="2:15" ht="21.75" customHeight="1" x14ac:dyDescent="0.25">
      <c r="B11" s="9" t="s">
        <v>1</v>
      </c>
      <c r="C11" s="69"/>
      <c r="D11" s="69"/>
      <c r="E11" s="10"/>
      <c r="F11" s="10"/>
      <c r="G11" s="11">
        <f>I11+K11+M11+O11</f>
        <v>0</v>
      </c>
      <c r="H11" s="10"/>
      <c r="I11" s="11">
        <f>VLOOKUP(I7,Data!A2:E22,4,FALSE)</f>
        <v>0</v>
      </c>
      <c r="J11" s="10"/>
      <c r="K11" s="11">
        <f>VLOOKUP(K7,Data!A2:E22,4,FALSE)</f>
        <v>0</v>
      </c>
      <c r="L11" s="11"/>
      <c r="M11" s="11">
        <f>VLOOKUP(M7,Data!A2:E22,4,FALSE)</f>
        <v>0</v>
      </c>
      <c r="N11" s="11"/>
      <c r="O11" s="11">
        <f>VLOOKUP(O7,Data!A2:E22,4,FALSE)</f>
        <v>0</v>
      </c>
    </row>
    <row r="12" spans="2:15" ht="21.75" customHeight="1" x14ac:dyDescent="0.25">
      <c r="B12" s="34" t="s">
        <v>2</v>
      </c>
      <c r="G12" s="35">
        <f>I12+K12+M12+O12</f>
        <v>0</v>
      </c>
      <c r="I12" s="35">
        <f>VLOOKUP(I7,Data!A2:E22,5,FALSE)</f>
        <v>0</v>
      </c>
      <c r="K12" s="35">
        <f>VLOOKUP(K7,Data!A2:E22,5,FALSE)</f>
        <v>0</v>
      </c>
      <c r="L12" s="35"/>
      <c r="M12" s="35">
        <f>VLOOKUP(M7,Data!A2:E22,5,FALSE)</f>
        <v>0</v>
      </c>
      <c r="N12" s="35"/>
      <c r="O12" s="35">
        <f>VLOOKUP(O7,Data!A2:E22,5,FALSE)</f>
        <v>0</v>
      </c>
    </row>
    <row r="13" spans="2:15" ht="21.75" customHeight="1" x14ac:dyDescent="0.25">
      <c r="B13" s="19"/>
      <c r="C13" s="37" t="s">
        <v>6</v>
      </c>
      <c r="D13" s="19"/>
      <c r="E13" s="19"/>
      <c r="F13" s="19"/>
      <c r="G13" s="38">
        <f>SUM(G11:G12)</f>
        <v>0</v>
      </c>
      <c r="H13" s="19"/>
      <c r="I13" s="38">
        <f>SUM(I11:I12)</f>
        <v>0</v>
      </c>
      <c r="J13" s="19"/>
      <c r="K13" s="38">
        <f>SUM(K11:K12)</f>
        <v>0</v>
      </c>
      <c r="L13" s="38"/>
      <c r="M13" s="38">
        <f>SUM(M11:M12)</f>
        <v>0</v>
      </c>
      <c r="N13" s="38"/>
      <c r="O13" s="38">
        <f>SUM(O11:O12)</f>
        <v>0</v>
      </c>
    </row>
    <row r="14" spans="2:15" ht="24" customHeight="1" x14ac:dyDescent="0.25"/>
    <row r="15" spans="2:15" ht="15.75" thickBot="1" x14ac:dyDescent="0.3">
      <c r="B15" s="1" t="s">
        <v>11</v>
      </c>
      <c r="C15" s="2"/>
      <c r="D15" s="2"/>
      <c r="E15" s="2"/>
      <c r="F15" s="2"/>
      <c r="G15" s="4" t="s">
        <v>3</v>
      </c>
      <c r="H15" s="3"/>
      <c r="I15" s="4" t="s">
        <v>72</v>
      </c>
      <c r="J15" s="3"/>
      <c r="K15" s="4" t="s">
        <v>73</v>
      </c>
      <c r="L15" s="4"/>
      <c r="M15" s="4" t="s">
        <v>74</v>
      </c>
      <c r="N15" s="4"/>
      <c r="O15" s="4" t="s">
        <v>82</v>
      </c>
    </row>
    <row r="16" spans="2:15" ht="21.75" customHeight="1" x14ac:dyDescent="0.25">
      <c r="B16" t="s">
        <v>16</v>
      </c>
      <c r="G16" s="15"/>
      <c r="I16" s="5">
        <f>IF((AND(I7&lt;&gt;"not enrolled",K7&lt;&gt;"not enrolled",M7&lt;&gt;"not enrolled",O7&lt;&gt;"not enrolled")),(G16/4), IF((AND(I7&lt;&gt;"not enrolled",K7&lt;&gt;"not enrolled",M7&lt;&gt;"not enrolled",O7="not enrolled")),(G16/3), IF((AND(I7&lt;&gt;"not enrolled",K7&lt;&gt;"not enrolled",M7="not enrolled",O7="not enrolled")),(G16/2), IF((AND(I7&lt;&gt;"not enrolled",K7="not enrolled",M7="not enrolled",O7="not enrolled")),(G16/1), 0))))</f>
        <v>0</v>
      </c>
      <c r="K16" s="5">
        <f>IF((AND(I7&lt;&gt;"not enrolled",K7&lt;&gt;"not enrolled",M7&lt;&gt;"not enrolled",O7&lt;&gt;"not enrolled")),(G16/4), IF((AND(I7&lt;&gt;"not enrolled",K7&lt;&gt;"not enrolled",M7&lt;&gt;"not enrolled",O7="not enrolled")),(G16/3), IF((AND(I7="not enrolled",K7&lt;&gt;"not enrolled",M7&lt;&gt;"not enrolled",O7&lt;&gt;"not enrolled")),(G16/3), IF((AND(I7&lt;&gt;"not enrolled",K7&lt;&gt;"not enrolled",M7="not enrolled",O7="not enrolled")),(G16/2), 0))))</f>
        <v>0</v>
      </c>
      <c r="M16" s="5">
        <f>IF((AND(I7&lt;&gt;"not enrolled",K7&lt;&gt;"not enrolled",M7&lt;&gt;"not enrolled",O7&lt;&gt;"not enrolled")),(G16/4), IF((AND(I7&lt;&gt;"not enrolled",K7&lt;&gt;"not enrolled",M7&lt;&gt;"not enrolled",O7="not enrolled")),(G16/3), IF((AND(I7="not enrolled",K7&lt;&gt;"not enrolled",M7&lt;&gt;"not enrolled",O7&lt;&gt;"not enrolled")),(G16/3), IF((AND(I7="not enrolled",K7="not enrolled",M7&lt;&gt;"not enrolled",O7&lt;&gt;"not enrolled")),(G16/2), 0))))</f>
        <v>0</v>
      </c>
      <c r="O16" s="5">
        <f>IF((AND(I7&lt;&gt;"not enrolled",K7&lt;&gt;"not enrolled",M7&lt;&gt;"not enrolled",O7&lt;&gt;"not enrolled")),(G16/4), IF((AND(I7="not enrolled",K7&lt;&gt;"not enrolled",M7&lt;&gt;"not enrolled",O7&lt;&gt;"not enrolled")),(G16/3), IF((AND(I7="not enrolled",K7="not enrolled",M7&lt;&gt;"not enrolled",O7&lt;&gt;"not enrolled")),(G16/2),  IF((AND(I7="not enrolled",K7="not enrolled",M7="not enrolled",O7&lt;&gt;"not enrolled")),(G16), 0))))</f>
        <v>0</v>
      </c>
    </row>
    <row r="17" spans="2:15" ht="21.75" customHeight="1" x14ac:dyDescent="0.25">
      <c r="B17" s="10" t="s">
        <v>8</v>
      </c>
      <c r="C17" s="10"/>
      <c r="D17" s="10"/>
      <c r="E17" s="10"/>
      <c r="F17" s="10"/>
      <c r="G17" s="16"/>
      <c r="H17" s="10"/>
      <c r="I17" s="11">
        <f>IF((AND(I7&lt;&gt;"not enrolled",K7&lt;&gt;"not enrolled",M7&lt;&gt;"not enrolled",O7&lt;&gt;"not enrolled")),(G17/4), IF((AND(I7&lt;&gt;"not enrolled",K7&lt;&gt;"not enrolled",M7&lt;&gt;"not enrolled",O7="not enrolled")),(G17/3), IF((AND(I7&lt;&gt;"not enrolled",K7&lt;&gt;"not enrolled",M7="not enrolled",O7="not enrolled")),(G17/2), IF((AND(I7&lt;&gt;"not enrolled",K7="not enrolled",M7="not enrolled",O7="not enrolled")),(G17/1), 0))))</f>
        <v>0</v>
      </c>
      <c r="J17" s="10"/>
      <c r="K17" s="11">
        <f>IF((AND(I7&lt;&gt;"not enrolled",K7&lt;&gt;"not enrolled",M7&lt;&gt;"not enrolled",O7&lt;&gt;"not enrolled")),(G17/4), IF((AND(I7&lt;&gt;"not enrolled",K7&lt;&gt;"not enrolled",M7&lt;&gt;"not enrolled",O7="not enrolled")),(G17/3), IF((AND(I7="not enrolled",K7&lt;&gt;"not enrolled",M7&lt;&gt;"not enrolled",O7&lt;&gt;"not enrolled")),(G17/3), IF((AND(I7&lt;&gt;"not enrolled",K7&lt;&gt;"not enrolled",M7="not enrolled",O7="not enrolled")),(G17/2), 0))))</f>
        <v>0</v>
      </c>
      <c r="L17" s="11"/>
      <c r="M17" s="11">
        <f>IF((AND(I7&lt;&gt;"not enrolled",K7&lt;&gt;"not enrolled",M7&lt;&gt;"not enrolled",O7&lt;&gt;"not enrolled")),(G17/4), IF((AND(I7&lt;&gt;"not enrolled",K7&lt;&gt;"not enrolled",M7&lt;&gt;"not enrolled",O7="not enrolled")),(G17/3), IF((AND(I7="not enrolled",K7&lt;&gt;"not enrolled",M7&lt;&gt;"not enrolled",O7&lt;&gt;"not enrolled")),(G17/3), IF((AND(I7="not enrolled",K7="not enrolled",M7&lt;&gt;"not enrolled",O7&lt;&gt;"not enrolled")),(G17/2), 0))))</f>
        <v>0</v>
      </c>
      <c r="N17" s="11"/>
      <c r="O17" s="11">
        <f>IF((AND(I7&lt;&gt;"not enrolled",K7&lt;&gt;"not enrolled",M7&lt;&gt;"not enrolled",O7&lt;&gt;"not enrolled")),(G17/4), IF((AND(I7="not enrolled",K7&lt;&gt;"not enrolled",M7&lt;&gt;"not enrolled",O7&lt;&gt;"not enrolled")),(G17/3), IF((AND(I7="not enrolled",K7="not enrolled",M7&lt;&gt;"not enrolled",O7&lt;&gt;"not enrolled")),(G17/2),  IF((AND(I7="not enrolled",K7="not enrolled",M7="not enrolled",O7&lt;&gt;"not enrolled")),(G17), 0))))</f>
        <v>0</v>
      </c>
    </row>
    <row r="18" spans="2:15" ht="21.75" customHeight="1" x14ac:dyDescent="0.25">
      <c r="B18" t="s">
        <v>19</v>
      </c>
      <c r="E18" s="17"/>
      <c r="G18" s="5">
        <f>SUM(I18,K18,M18,O18)</f>
        <v>0</v>
      </c>
      <c r="I18" s="5">
        <f>IF((AND(I7&lt;&gt;"not enrolled",K7&lt;&gt;"not enrolled",M7&lt;&gt;"not enrolled",O7&lt;&gt;"not enrolled")),ROUND(((E18-(E18*0.01057))/4),0), IF((AND(I7&lt;&gt;"not enrolled",K7&lt;&gt;"not enrolled",M7&lt;&gt;"not enrolled",O7="not enrolled")),ROUND(((E18-(E18*0.01057))/3),0), IF((AND(I7&lt;&gt;"not enrolled",K7&lt;&gt;"not enrolled",M7="not enrolled",O7="not enrolled")),ROUND(((E18-(E18*0.01057))/2),0), IF((AND(I7&lt;&gt;"not enrolled",K7="not enrolled",M7="not enrolled",O7="not enrolled")),ROUND(((E18-(E18*0.01057))/1),0), 0))))</f>
        <v>0</v>
      </c>
      <c r="K18" s="5">
        <f>IF((AND(I7&lt;&gt;"not enrolled",K7&lt;&gt;"not enrolled",M7&lt;&gt;"not enrolled",O7&lt;&gt;"not enrolled")),ROUND(((E18-(E18*0.01057))/4),0), IF((AND(I7&lt;&gt;"not enrolled",K7&lt;&gt;"not enrolled",M7&lt;&gt;"not enrolled",O7="not enrolled")),ROUND(((E18-(E18*0.01057))/3),0), IF((AND(I7="not enrolled",K7&lt;&gt;"not enrolled",M7&lt;&gt;"not enrolled",O7&lt;&gt;"not enrolled")),ROUND(((E18-(E18*0.01057))/3),0), IF((AND(I7&lt;&gt;"not enrolled",K7&lt;&gt;"not enrolled",M7="not enrolled",O7="not enrolled")),ROUND(((E18-(E18*0.01057))/2),0), 0))))</f>
        <v>0</v>
      </c>
      <c r="M18" s="5">
        <f>IF((AND(I7&lt;&gt;"not enrolled",K7&lt;&gt;"not enrolled",M7&lt;&gt;"not enrolled",O7&lt;&gt;"not enrolled")),ROUND(((E18-(E18*0.01057))/4),0), IF((AND(I7&lt;&gt;"not enrolled",K7&lt;&gt;"not enrolled",M7&lt;&gt;"not enrolled",O7="not enrolled")),ROUND(((E18-(E18*0.01057))/3),0), IF((AND(I7="not enrolled",K7&lt;&gt;"not enrolled",M7&lt;&gt;"not enrolled",O7&lt;&gt;"not enrolled")),ROUND(((E18-(E18*0.01057))/3),0), IF((AND(I7="not enrolled",K7="not enrolled",M7&lt;&gt;"not enrolled",O7&lt;&gt;"not enrolled")),ROUND(((E18-(E18*0.01057))/2),0), 0))))</f>
        <v>0</v>
      </c>
      <c r="O18" s="5">
        <f>IF((AND(I7&lt;&gt;"not enrolled",K7&lt;&gt;"not enrolled",M7&lt;&gt;"not enrolled",O7&lt;&gt;"not enrolled")),ROUND(((E18-(E18*0.01057))/4),0), IF((AND(I7="not enrolled",K7&lt;&gt;"not enrolled",M7&lt;&gt;"not enrolled",O7&lt;&gt;"not enrolled")),ROUND(((E18-(E18*0.01057))/3),0), IF((AND(I7="not enrolled",K7="not enrolled",M7&lt;&gt;"not enrolled",O7&lt;&gt;"not enrolled")),ROUND(((E18-(E18*0.01057))/2),0),  IF((AND(I7="not enrolled",K7="not enrolled",M7="not enrolled",O7&lt;&gt;"not enrolled")),ROUND(((E18-(E18*0.01057))/1),0), 0))))</f>
        <v>0</v>
      </c>
    </row>
    <row r="19" spans="2:15" ht="21.75" customHeight="1" x14ac:dyDescent="0.25">
      <c r="B19" s="10" t="s">
        <v>20</v>
      </c>
      <c r="C19" s="10"/>
      <c r="D19" s="10"/>
      <c r="E19" s="17"/>
      <c r="F19" s="10"/>
      <c r="G19" s="11">
        <f>SUM(I19,K19,M19,O19)</f>
        <v>0</v>
      </c>
      <c r="H19" s="10"/>
      <c r="I19" s="11">
        <f>IF((AND(I7&lt;&gt;"not enrolled",K7&lt;&gt;"not enrolled",M7&lt;&gt;"not enrolled",O7&lt;&gt;"not enrolled")),ROUND(((E19-(E19*0.04228))/4),0), IF((AND(I7&lt;&gt;"not enrolled",K7&lt;&gt;"not enrolled",M7&lt;&gt;"not enrolled",O7="not enrolled")),ROUND(((E19-(E19*0.04228))/3),0), IF((AND(I7&lt;&gt;"not enrolled",K7&lt;&gt;"not enrolled",M7="not enrolled",O7="not enrolled")),ROUND(((E19-(E19*0.04228))/2),0), IF((AND(I7&lt;&gt;"not enrolled",K7="not enrolled",M7="not enrolled",O7="not enrolled")),ROUND(((E19-(E19*0.04228))/1),0), 0))))</f>
        <v>0</v>
      </c>
      <c r="J19" s="10"/>
      <c r="K19" s="11">
        <f>IF((AND(I7&lt;&gt;"not enrolled",K7&lt;&gt;"not enrolled",M7&lt;&gt;"not enrolled",O7&lt;&gt;"not enrolled")),ROUND(((E19-(E19*0.04228))/4),0), IF((AND(I7&lt;&gt;"not enrolled",K7&lt;&gt;"not enrolled",M7&lt;&gt;"not enrolled",O7="not enrolled")),ROUND(((E19-(E19*0.04228))/3),0), IF((AND(I7="not enrolled",K7&lt;&gt;"not enrolled",M7&lt;&gt;"not enrolled",O7&lt;&gt;"not enrolled")),ROUND(((E19-(E19*0.04228))/3),0), IF((AND(I7&lt;&gt;"not enrolled",K7&lt;&gt;"not enrolled",M7="not enrolled",O7="not enrolled")),ROUND(((E19-(E19*0.04228))/2),0), 0))))</f>
        <v>0</v>
      </c>
      <c r="L19" s="11"/>
      <c r="M19" s="11">
        <f>IF((AND(I7&lt;&gt;"not enrolled",K7&lt;&gt;"not enrolled",M7&lt;&gt;"not enrolled",O7&lt;&gt;"not enrolled")),ROUND(((E19-(E19*0.04228))/4),0), IF((AND(I7&lt;&gt;"not enrolled",K7&lt;&gt;"not enrolled",M7&lt;&gt;"not enrolled",O7="not enrolled")),ROUND(((E19-(E19*0.04228))/3),0), IF((AND(I7="not enrolled",K7&lt;&gt;"not enrolled",M7&lt;&gt;"not enrolled",O7&lt;&gt;"not enrolled")),ROUND(((E19-(E19*0.04228))/3),0), IF((AND(I7="not enrolled",K7="not enrolled",M7&lt;&gt;"not enrolled",O7&lt;&gt;"not enrolled")),ROUND(((E19-(E19*0.04228))/2),0), 0))))</f>
        <v>0</v>
      </c>
      <c r="N19" s="11"/>
      <c r="O19" s="11">
        <f>IF((AND(I7&lt;&gt;"not enrolled",K7&lt;&gt;"not enrolled",M7&lt;&gt;"not enrolled",O7&lt;&gt;"not enrolled")),ROUND(((E19-(E19*0.04228))/4),0), IF((AND(I7="not enrolled",K7&lt;&gt;"not enrolled",M7&lt;&gt;"not enrolled",O7&lt;&gt;"not enrolled")),ROUND(((E19-(E19*0.04228))/3),0), IF((AND(I7="not enrolled",K7="not enrolled",M7&lt;&gt;"not enrolled",O7&lt;&gt;"not enrolled")),ROUND(((E19-(E19*0.04228))/2),0),  IF((AND(I7="not enrolled",K7="not enrolled",M7="not enrolled",O7&lt;&gt;"not enrolled")),ROUND(((E19-(E19*0.04228))/1),0), 0))))</f>
        <v>0</v>
      </c>
    </row>
    <row r="20" spans="2:15" ht="21.75" customHeight="1" x14ac:dyDescent="0.25">
      <c r="B20" t="s">
        <v>9</v>
      </c>
      <c r="G20" s="16"/>
      <c r="I20" s="5">
        <f>IF((AND(I7&lt;&gt;"not enrolled",K7&lt;&gt;"not enrolled",M7&lt;&gt;"not enrolled",O7&lt;&gt;"not enrolled")),(G20/4), IF((AND(I7&lt;&gt;"not enrolled",K7&lt;&gt;"not enrolled",M7&lt;&gt;"not enrolled",O7="not enrolled")),(G20/3), IF((AND(I7&lt;&gt;"not enrolled",K7&lt;&gt;"not enrolled",M7="not enrolled",O7="not enrolled")),(G20/2), IF((AND(I7&lt;&gt;"not enrolled",K7="not enrolled",M7="not enrolled",O7="not enrolled")),(G20/1), 0))))</f>
        <v>0</v>
      </c>
      <c r="K20" s="5">
        <f>IF((AND(I7&lt;&gt;"not enrolled",K7&lt;&gt;"not enrolled",M7&lt;&gt;"not enrolled",O7&lt;&gt;"not enrolled")),(G20/4), IF((AND(I7&lt;&gt;"not enrolled",K7&lt;&gt;"not enrolled",M7&lt;&gt;"not enrolled",O7="not enrolled")),(G20/3), IF((AND(I7="not enrolled",K7&lt;&gt;"not enrolled",M7&lt;&gt;"not enrolled",O7&lt;&gt;"not enrolled")),(G20/3), IF((AND(I7&lt;&gt;"not enrolled",K7&lt;&gt;"not enrolled",M7="not enrolled",O7="not enrolled")),(G20/2), 0))))</f>
        <v>0</v>
      </c>
      <c r="M20" s="5">
        <f>IF((AND(I7&lt;&gt;"not enrolled",K7&lt;&gt;"not enrolled",M7&lt;&gt;"not enrolled",O7&lt;&gt;"not enrolled")),(G20/4), IF((AND(I7&lt;&gt;"not enrolled",K7&lt;&gt;"not enrolled",M7&lt;&gt;"not enrolled",O7="not enrolled")),(G20/3), IF((AND(I7="not enrolled",K7&lt;&gt;"not enrolled",M7&lt;&gt;"not enrolled",O7&lt;&gt;"not enrolled")),(G20/3), IF((AND(I7="not enrolled",K7="not enrolled",M7&lt;&gt;"not enrolled",O7&lt;&gt;"not enrolled")),(G20/2), 0))))</f>
        <v>0</v>
      </c>
      <c r="O20" s="5">
        <f>IF((AND(I7&lt;&gt;"not enrolled",K7&lt;&gt;"not enrolled",M7&lt;&gt;"not enrolled",O7&lt;&gt;"not enrolled")),(G20/4), IF((AND(I7="not enrolled",K7&lt;&gt;"not enrolled",M7&lt;&gt;"not enrolled",O7&lt;&gt;"not enrolled")),(G20/3), IF((AND(I7="not enrolled",K7="not enrolled",M7&lt;&gt;"not enrolled",O7&lt;&gt;"not enrolled")),(G20/2),  IF((AND(I7="not enrolled",K7="not enrolled",M7="not enrolled",O7&lt;&gt;"not enrolled")),(G20), 0))))</f>
        <v>0</v>
      </c>
    </row>
    <row r="21" spans="2:15" ht="21.75" customHeight="1" x14ac:dyDescent="0.25">
      <c r="B21" s="65" t="s">
        <v>23</v>
      </c>
      <c r="C21" s="65"/>
      <c r="D21" s="65"/>
      <c r="E21" s="65"/>
      <c r="F21" s="65"/>
      <c r="G21" s="26">
        <f>I21+K21+M21+O21</f>
        <v>0</v>
      </c>
      <c r="H21" s="25"/>
      <c r="I21" s="18"/>
      <c r="J21" s="25"/>
      <c r="K21" s="18"/>
      <c r="L21" s="55"/>
      <c r="M21" s="18"/>
      <c r="N21" s="55"/>
      <c r="O21" s="18"/>
    </row>
    <row r="22" spans="2:15" ht="21.75" customHeight="1" x14ac:dyDescent="0.25">
      <c r="C22" s="7" t="s">
        <v>10</v>
      </c>
      <c r="G22" s="5">
        <f>SUM(G16:G21)</f>
        <v>0</v>
      </c>
      <c r="I22" s="5">
        <f>SUM(I16:I21)</f>
        <v>0</v>
      </c>
      <c r="K22" s="5">
        <f>SUM(K16:K21)</f>
        <v>0</v>
      </c>
      <c r="M22" s="5">
        <f>SUM(M16:M21)</f>
        <v>0</v>
      </c>
      <c r="O22" s="5">
        <f>SUM(O16:O21)</f>
        <v>0</v>
      </c>
    </row>
    <row r="23" spans="2:15" ht="15.75" thickBot="1" x14ac:dyDescent="0.3"/>
    <row r="24" spans="2:15" ht="21.75" customHeight="1" thickTop="1" thickBot="1" x14ac:dyDescent="0.35">
      <c r="B24" s="14" t="s">
        <v>12</v>
      </c>
      <c r="C24" s="13"/>
      <c r="D24" s="13"/>
      <c r="E24" s="13"/>
      <c r="F24" s="13"/>
      <c r="G24" s="23">
        <f>G13-G22</f>
        <v>0</v>
      </c>
      <c r="H24" s="24"/>
      <c r="I24" s="23">
        <f>I13-I22</f>
        <v>0</v>
      </c>
      <c r="J24" s="24"/>
      <c r="K24" s="23">
        <f>K13-K22</f>
        <v>0</v>
      </c>
      <c r="L24" s="23"/>
      <c r="M24" s="23">
        <f>M13-M22</f>
        <v>0</v>
      </c>
      <c r="N24" s="23"/>
      <c r="O24" s="23">
        <f>O13-O22</f>
        <v>0</v>
      </c>
    </row>
    <row r="25" spans="2:15" ht="15.75" thickTop="1" x14ac:dyDescent="0.25"/>
    <row r="26" spans="2:15" x14ac:dyDescent="0.25">
      <c r="B26" s="7" t="s">
        <v>13</v>
      </c>
    </row>
    <row r="27" spans="2:15" ht="21" customHeight="1" x14ac:dyDescent="0.25">
      <c r="B27" s="73" t="s">
        <v>83</v>
      </c>
      <c r="C27" s="66"/>
      <c r="D27" s="66"/>
      <c r="E27" s="66"/>
      <c r="F27" s="66"/>
      <c r="G27" s="66"/>
      <c r="H27" s="66"/>
      <c r="I27" s="66"/>
      <c r="J27" s="66"/>
      <c r="K27" s="66"/>
      <c r="L27" s="66"/>
      <c r="M27" s="66"/>
      <c r="N27" s="66"/>
      <c r="O27" s="66"/>
    </row>
    <row r="28" spans="2:15" ht="21.75" customHeight="1" x14ac:dyDescent="0.25">
      <c r="B28" s="64" t="s">
        <v>18</v>
      </c>
      <c r="C28" s="64"/>
      <c r="D28" s="64"/>
      <c r="E28" s="64"/>
      <c r="F28" s="64"/>
      <c r="G28" s="64"/>
      <c r="H28" s="64"/>
      <c r="I28" s="64"/>
      <c r="J28" s="64"/>
      <c r="K28" s="64"/>
      <c r="L28" s="64"/>
      <c r="M28" s="64"/>
      <c r="N28" s="64"/>
      <c r="O28" s="64"/>
    </row>
    <row r="29" spans="2:15" ht="33.75" customHeight="1" x14ac:dyDescent="0.25">
      <c r="B29" s="66" t="s">
        <v>61</v>
      </c>
      <c r="C29" s="66"/>
      <c r="D29" s="66"/>
      <c r="E29" s="66"/>
      <c r="F29" s="66"/>
      <c r="G29" s="66"/>
      <c r="H29" s="66"/>
      <c r="I29" s="66"/>
      <c r="J29" s="66"/>
      <c r="K29" s="66"/>
      <c r="L29" s="66"/>
      <c r="M29" s="66"/>
      <c r="N29" s="66"/>
      <c r="O29" s="66"/>
    </row>
    <row r="30" spans="2:15" ht="51" customHeight="1" x14ac:dyDescent="0.25">
      <c r="B30" s="66" t="s">
        <v>50</v>
      </c>
      <c r="C30" s="66"/>
      <c r="D30" s="66"/>
      <c r="E30" s="66"/>
      <c r="F30" s="66"/>
      <c r="G30" s="66"/>
      <c r="H30" s="66"/>
      <c r="I30" s="66"/>
      <c r="J30" s="66"/>
      <c r="K30" s="66"/>
      <c r="L30" s="66"/>
      <c r="M30" s="66"/>
      <c r="N30" s="66"/>
      <c r="O30" s="66"/>
    </row>
    <row r="31" spans="2:15" ht="21.75" customHeight="1" x14ac:dyDescent="0.25"/>
    <row r="33" spans="2:15" x14ac:dyDescent="0.25">
      <c r="B33" s="60" t="s">
        <v>14</v>
      </c>
      <c r="C33" s="60"/>
      <c r="D33" s="60"/>
      <c r="E33" s="60"/>
      <c r="F33" s="60"/>
      <c r="G33" s="60"/>
      <c r="H33" s="60"/>
      <c r="I33" s="60"/>
      <c r="J33" s="60"/>
      <c r="K33" s="60"/>
      <c r="L33" s="60"/>
      <c r="M33" s="60"/>
      <c r="N33" s="60"/>
      <c r="O33" s="60"/>
    </row>
  </sheetData>
  <sheetProtection algorithmName="SHA-512" hashValue="WN2vKSV86iYNUIF9bwglP0gmTBvUF6IWMqYOpmMJ3tNgs6PQEEidsK9mMxKEAdjIiAqCFjl4/vPSREzbLhZljA==" saltValue="4zwABNqcSpa33y8WY8bcdg==" spinCount="100000" sheet="1" selectLockedCells="1"/>
  <mergeCells count="8">
    <mergeCell ref="B30:O30"/>
    <mergeCell ref="B33:O33"/>
    <mergeCell ref="G2:O2"/>
    <mergeCell ref="C11:D11"/>
    <mergeCell ref="B21:F21"/>
    <mergeCell ref="B27:O27"/>
    <mergeCell ref="B28:O28"/>
    <mergeCell ref="B29:O29"/>
  </mergeCells>
  <pageMargins left="0.5" right="0.5" top="0.5" bottom="0.5" header="0.3" footer="0.3"/>
  <pageSetup scale="7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Data!$A$2:$A$22</xm:f>
          </x14:formula1>
          <xm:sqref>O7 I7 K7 M7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51"/>
  <sheetViews>
    <sheetView showGridLines="0" workbookViewId="0">
      <selection activeCell="B25" sqref="B25"/>
    </sheetView>
  </sheetViews>
  <sheetFormatPr defaultColWidth="8.85546875" defaultRowHeight="15" x14ac:dyDescent="0.25"/>
  <cols>
    <col min="1" max="1" width="11.140625" customWidth="1"/>
    <col min="3" max="3" width="10.7109375" customWidth="1"/>
    <col min="4" max="4" width="10.85546875" customWidth="1"/>
    <col min="5" max="5" width="10.7109375" customWidth="1"/>
    <col min="6" max="10" width="11.85546875" customWidth="1"/>
    <col min="11" max="11" width="12" bestFit="1" customWidth="1"/>
    <col min="12" max="13" width="11.85546875" customWidth="1"/>
    <col min="14" max="14" width="13.28515625" customWidth="1"/>
    <col min="16" max="16" width="11.7109375" customWidth="1"/>
  </cols>
  <sheetData>
    <row r="1" spans="1:22" x14ac:dyDescent="0.25">
      <c r="A1" s="7"/>
      <c r="B1" s="57" t="s">
        <v>65</v>
      </c>
      <c r="C1" s="57" t="s">
        <v>66</v>
      </c>
      <c r="D1" s="56" t="s">
        <v>67</v>
      </c>
      <c r="E1" s="57" t="s">
        <v>56</v>
      </c>
      <c r="F1" s="53"/>
      <c r="J1" s="53"/>
    </row>
    <row r="2" spans="1:22" x14ac:dyDescent="0.25">
      <c r="A2" t="s">
        <v>55</v>
      </c>
      <c r="D2" s="7"/>
      <c r="F2" s="53"/>
      <c r="J2" s="53"/>
    </row>
    <row r="3" spans="1:22" x14ac:dyDescent="0.25">
      <c r="A3" t="s">
        <v>41</v>
      </c>
      <c r="B3">
        <v>0</v>
      </c>
      <c r="C3">
        <v>0</v>
      </c>
      <c r="D3">
        <v>0</v>
      </c>
      <c r="E3">
        <v>0</v>
      </c>
      <c r="K3" s="46"/>
      <c r="M3" s="46"/>
      <c r="N3" s="46"/>
      <c r="O3" s="46"/>
      <c r="P3" s="46"/>
      <c r="Q3" s="46"/>
      <c r="R3" s="46"/>
      <c r="S3" s="46"/>
      <c r="T3" s="46"/>
      <c r="U3" s="46"/>
      <c r="V3" s="46"/>
    </row>
    <row r="4" spans="1:22" x14ac:dyDescent="0.25">
      <c r="A4" t="s">
        <v>24</v>
      </c>
      <c r="B4">
        <v>6872</v>
      </c>
      <c r="C4">
        <v>5024</v>
      </c>
      <c r="D4">
        <v>3436</v>
      </c>
      <c r="E4">
        <v>16</v>
      </c>
      <c r="M4" s="46"/>
      <c r="N4" s="46"/>
      <c r="O4" s="46"/>
      <c r="P4" s="46"/>
      <c r="Q4" s="46"/>
      <c r="R4" s="46"/>
      <c r="S4" s="46"/>
      <c r="T4" s="46"/>
      <c r="U4" s="46"/>
      <c r="V4" s="46"/>
    </row>
    <row r="5" spans="1:22" x14ac:dyDescent="0.25">
      <c r="A5" t="s">
        <v>25</v>
      </c>
      <c r="B5">
        <v>8590</v>
      </c>
      <c r="C5">
        <v>6280</v>
      </c>
      <c r="D5">
        <v>4295</v>
      </c>
      <c r="E5">
        <v>20</v>
      </c>
    </row>
    <row r="6" spans="1:22" x14ac:dyDescent="0.25">
      <c r="A6" t="s">
        <v>26</v>
      </c>
      <c r="B6">
        <v>10308</v>
      </c>
      <c r="C6">
        <v>7536</v>
      </c>
      <c r="D6">
        <v>5154</v>
      </c>
      <c r="E6">
        <v>24</v>
      </c>
    </row>
    <row r="7" spans="1:22" x14ac:dyDescent="0.25">
      <c r="A7" t="s">
        <v>27</v>
      </c>
      <c r="B7">
        <v>12026</v>
      </c>
      <c r="C7">
        <v>8792</v>
      </c>
      <c r="D7">
        <v>6013</v>
      </c>
      <c r="E7">
        <v>28</v>
      </c>
    </row>
    <row r="8" spans="1:22" x14ac:dyDescent="0.25">
      <c r="A8" t="s">
        <v>28</v>
      </c>
      <c r="B8">
        <v>13744</v>
      </c>
      <c r="C8">
        <v>10048</v>
      </c>
      <c r="D8">
        <v>6872</v>
      </c>
      <c r="E8">
        <v>32</v>
      </c>
    </row>
    <row r="9" spans="1:22" x14ac:dyDescent="0.25">
      <c r="A9" t="s">
        <v>29</v>
      </c>
      <c r="B9">
        <v>15462</v>
      </c>
      <c r="C9">
        <v>11304</v>
      </c>
      <c r="D9">
        <v>7731</v>
      </c>
      <c r="E9">
        <v>36</v>
      </c>
    </row>
    <row r="10" spans="1:22" x14ac:dyDescent="0.25">
      <c r="A10" t="s">
        <v>30</v>
      </c>
      <c r="B10">
        <v>17180</v>
      </c>
      <c r="C10">
        <v>12560</v>
      </c>
      <c r="D10">
        <v>8590</v>
      </c>
      <c r="E10">
        <v>40</v>
      </c>
    </row>
    <row r="11" spans="1:22" x14ac:dyDescent="0.25">
      <c r="A11" t="s">
        <v>31</v>
      </c>
      <c r="B11">
        <v>18898</v>
      </c>
      <c r="C11">
        <v>13816</v>
      </c>
      <c r="D11">
        <v>9449</v>
      </c>
      <c r="E11">
        <v>44</v>
      </c>
    </row>
    <row r="12" spans="1:22" x14ac:dyDescent="0.25">
      <c r="A12" t="s">
        <v>32</v>
      </c>
      <c r="B12">
        <v>20616</v>
      </c>
      <c r="C12">
        <v>15072</v>
      </c>
      <c r="D12">
        <v>10308</v>
      </c>
      <c r="E12">
        <v>48</v>
      </c>
    </row>
    <row r="13" spans="1:22" x14ac:dyDescent="0.25">
      <c r="A13" t="s">
        <v>33</v>
      </c>
      <c r="B13">
        <v>22334</v>
      </c>
      <c r="C13">
        <v>16328</v>
      </c>
      <c r="D13">
        <v>11167</v>
      </c>
      <c r="E13">
        <v>48</v>
      </c>
    </row>
    <row r="14" spans="1:22" x14ac:dyDescent="0.25">
      <c r="A14" t="s">
        <v>34</v>
      </c>
      <c r="B14">
        <v>24052</v>
      </c>
      <c r="C14">
        <v>17584</v>
      </c>
      <c r="D14">
        <v>12026</v>
      </c>
      <c r="E14">
        <v>48</v>
      </c>
    </row>
    <row r="15" spans="1:22" x14ac:dyDescent="0.25">
      <c r="A15" t="s">
        <v>35</v>
      </c>
      <c r="B15">
        <v>25770</v>
      </c>
      <c r="C15">
        <v>18840</v>
      </c>
      <c r="D15">
        <v>12885</v>
      </c>
      <c r="E15">
        <v>48</v>
      </c>
    </row>
    <row r="16" spans="1:22" x14ac:dyDescent="0.25">
      <c r="A16" t="s">
        <v>36</v>
      </c>
      <c r="B16">
        <v>27488</v>
      </c>
      <c r="C16">
        <v>20096</v>
      </c>
      <c r="D16">
        <v>13744</v>
      </c>
      <c r="E16">
        <v>48</v>
      </c>
    </row>
    <row r="17" spans="1:18" x14ac:dyDescent="0.25">
      <c r="A17" t="s">
        <v>37</v>
      </c>
      <c r="B17">
        <v>29206</v>
      </c>
      <c r="C17">
        <v>21352</v>
      </c>
      <c r="D17">
        <v>14603</v>
      </c>
      <c r="E17">
        <v>48</v>
      </c>
    </row>
    <row r="18" spans="1:18" x14ac:dyDescent="0.25">
      <c r="A18" t="s">
        <v>38</v>
      </c>
      <c r="B18">
        <v>30924</v>
      </c>
      <c r="C18">
        <v>22608</v>
      </c>
      <c r="D18">
        <v>15462</v>
      </c>
      <c r="E18">
        <v>48</v>
      </c>
    </row>
    <row r="19" spans="1:18" x14ac:dyDescent="0.25">
      <c r="A19" t="s">
        <v>39</v>
      </c>
      <c r="B19">
        <v>32642</v>
      </c>
      <c r="C19">
        <v>23864</v>
      </c>
      <c r="D19">
        <v>16321</v>
      </c>
      <c r="E19">
        <v>52</v>
      </c>
    </row>
    <row r="20" spans="1:18" x14ac:dyDescent="0.25">
      <c r="A20" t="s">
        <v>40</v>
      </c>
      <c r="B20">
        <v>34360</v>
      </c>
      <c r="C20">
        <v>25120</v>
      </c>
      <c r="D20">
        <v>17180</v>
      </c>
      <c r="E20">
        <v>56</v>
      </c>
    </row>
    <row r="21" spans="1:18" x14ac:dyDescent="0.25">
      <c r="A21" t="s">
        <v>43</v>
      </c>
      <c r="B21">
        <v>36078</v>
      </c>
      <c r="C21">
        <v>26376</v>
      </c>
      <c r="D21">
        <v>18039</v>
      </c>
      <c r="E21">
        <v>60</v>
      </c>
    </row>
    <row r="22" spans="1:18" x14ac:dyDescent="0.25">
      <c r="A22" t="s">
        <v>44</v>
      </c>
      <c r="B22">
        <v>37796</v>
      </c>
      <c r="C22">
        <v>27632</v>
      </c>
      <c r="D22">
        <v>18898</v>
      </c>
      <c r="E22">
        <v>64</v>
      </c>
    </row>
    <row r="24" spans="1:18" x14ac:dyDescent="0.25">
      <c r="A24" s="7" t="s">
        <v>21</v>
      </c>
      <c r="E24" s="7"/>
      <c r="F24" s="54"/>
      <c r="G24" s="7"/>
      <c r="H24" s="7"/>
      <c r="I24" s="7"/>
      <c r="J24" s="53"/>
      <c r="K24" s="7"/>
      <c r="M24" s="7"/>
      <c r="N24" s="54"/>
      <c r="P24" s="7"/>
      <c r="Q24" s="7"/>
      <c r="R24" s="7"/>
    </row>
    <row r="25" spans="1:18" x14ac:dyDescent="0.25">
      <c r="A25" t="s">
        <v>4</v>
      </c>
      <c r="B25">
        <v>1990</v>
      </c>
    </row>
    <row r="26" spans="1:18" x14ac:dyDescent="0.25">
      <c r="A26" t="s">
        <v>5</v>
      </c>
      <c r="B26">
        <v>0</v>
      </c>
    </row>
    <row r="44" spans="1:9" x14ac:dyDescent="0.25">
      <c r="E44" s="7"/>
      <c r="I44" s="7"/>
    </row>
    <row r="47" spans="1:9" x14ac:dyDescent="0.25">
      <c r="A47" t="s">
        <v>51</v>
      </c>
    </row>
    <row r="48" spans="1:9" x14ac:dyDescent="0.25">
      <c r="A48" t="s">
        <v>52</v>
      </c>
    </row>
    <row r="49" spans="1:1" x14ac:dyDescent="0.25">
      <c r="A49" t="s">
        <v>53</v>
      </c>
    </row>
    <row r="51" spans="1:1" x14ac:dyDescent="0.25">
      <c r="A51" t="s">
        <v>54</v>
      </c>
    </row>
  </sheetData>
  <sheetProtection algorithmName="SHA-512" hashValue="TWca7ldlh+y3oBwe+oR0nJWbsTVbtJaNg6od/WFYhyLrBpP2N/b9Kzp6gVj0yDHNjIc2IKxJdVIrZezQF5YC/g==" saltValue="nGkogV6keDHCuBxH5nPKBw==" spinCount="100000" sheet="1" objects="1" scenarios="1" selectLockedCells="1" selectUn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6</vt:i4>
      </vt:variant>
    </vt:vector>
  </HeadingPairs>
  <TitlesOfParts>
    <vt:vector size="6" baseType="lpstr">
      <vt:lpstr>Worksheets Home</vt:lpstr>
      <vt:lpstr>Cyber Sec.</vt:lpstr>
      <vt:lpstr>Data Sci</vt:lpstr>
      <vt:lpstr>All Other</vt:lpstr>
      <vt:lpstr>Online</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Westendorf</dc:creator>
  <cp:lastModifiedBy>Jaz Howard</cp:lastModifiedBy>
  <cp:lastPrinted>2019-02-07T21:36:17Z</cp:lastPrinted>
  <dcterms:created xsi:type="dcterms:W3CDTF">2018-06-06T22:54:45Z</dcterms:created>
  <dcterms:modified xsi:type="dcterms:W3CDTF">2025-02-21T19:01:11Z</dcterms:modified>
</cp:coreProperties>
</file>