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9F63B8FC-3601-4D9D-86F7-792F0C91793E}" xr6:coauthVersionLast="47" xr6:coauthVersionMax="47" xr10:uidLastSave="{00000000-0000-0000-0000-000000000000}"/>
  <workbookProtection workbookAlgorithmName="SHA-512" workbookHashValue="cl6RucTyM5GkP9efMdwd3pyyUJw4D9zqM7kEtgu0JJ2P7a3LgQQXCHNLHbQM6cWSW0ffJbK7oLeYsvLcgJBkpQ==" workbookSaltValue="aC4usmM4kBcuNJezx77TIw==" workbookSpinCount="100000" lockStructure="1"/>
  <bookViews>
    <workbookView xWindow="-120" yWindow="-120" windowWidth="29040" windowHeight="17520" tabRatio="721" xr2:uid="{00000000-000D-0000-FFFF-FFFF00000000}"/>
  </bookViews>
  <sheets>
    <sheet name="Worksheets Home" sheetId="4" r:id="rId1"/>
    <sheet name="BA" sheetId="30" r:id="rId2"/>
    <sheet name="Master's" sheetId="32" r:id="rId3"/>
    <sheet name="Denver MBA" sheetId="33" r:id="rId4"/>
    <sheet name="PMBA" sheetId="14" r:id="rId5"/>
    <sheet name="EMBA" sheetId="13" r:id="rId6"/>
    <sheet name="MBA@Denver" sheetId="15" r:id="rId7"/>
    <sheet name="Executive PhD" sheetId="34" r:id="rId8"/>
    <sheet name="Data1" sheetId="31" state="hidden" r:id="rId9"/>
  </sheets>
  <definedNames>
    <definedName name="Credits" localSheetId="3">#REF!</definedName>
    <definedName name="Credits" localSheetId="7">#REF!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0" l="1"/>
  <c r="K15" i="30"/>
  <c r="I15" i="30"/>
  <c r="K10" i="15"/>
  <c r="O10" i="15"/>
  <c r="I10" i="15"/>
  <c r="M10" i="15"/>
  <c r="N15" i="32"/>
  <c r="L15" i="32"/>
  <c r="J15" i="32"/>
  <c r="L6" i="31"/>
  <c r="L7" i="31"/>
  <c r="L8" i="31" s="1"/>
  <c r="L9" i="31" s="1"/>
  <c r="L10" i="31" s="1"/>
  <c r="L11" i="31" s="1"/>
  <c r="L12" i="31" s="1"/>
  <c r="L13" i="31" s="1"/>
  <c r="L14" i="31" s="1"/>
  <c r="L15" i="31" s="1"/>
  <c r="L16" i="31" s="1"/>
  <c r="L17" i="31" s="1"/>
  <c r="L18" i="31" s="1"/>
  <c r="L19" i="31" s="1"/>
  <c r="L20" i="31" s="1"/>
  <c r="L21" i="31" s="1"/>
  <c r="L22" i="31" s="1"/>
  <c r="L5" i="31"/>
  <c r="L4" i="31"/>
  <c r="B30" i="13"/>
  <c r="O10" i="14"/>
  <c r="M10" i="14"/>
  <c r="K10" i="14"/>
  <c r="O12" i="13"/>
  <c r="M12" i="13"/>
  <c r="K12" i="13"/>
  <c r="I12" i="13"/>
  <c r="M13" i="34"/>
  <c r="K13" i="34"/>
  <c r="I10" i="14"/>
  <c r="I13" i="34"/>
  <c r="N29" i="31"/>
  <c r="N30" i="31"/>
  <c r="N31" i="31" s="1"/>
  <c r="N32" i="31" s="1"/>
  <c r="N33" i="31" s="1"/>
  <c r="N34" i="31" s="1"/>
  <c r="N35" i="31" s="1"/>
  <c r="N36" i="31" s="1"/>
  <c r="N37" i="31" s="1"/>
  <c r="N38" i="31" s="1"/>
  <c r="N39" i="31" s="1"/>
  <c r="N40" i="31" s="1"/>
  <c r="N41" i="31" s="1"/>
  <c r="N42" i="31" s="1"/>
  <c r="N43" i="31" s="1"/>
  <c r="N28" i="31"/>
  <c r="L29" i="31"/>
  <c r="L30" i="31" s="1"/>
  <c r="L31" i="31" s="1"/>
  <c r="L32" i="31" s="1"/>
  <c r="L33" i="31" s="1"/>
  <c r="L34" i="31" s="1"/>
  <c r="L35" i="31" s="1"/>
  <c r="L36" i="31" s="1"/>
  <c r="L37" i="31" s="1"/>
  <c r="L38" i="31" s="1"/>
  <c r="L39" i="31" s="1"/>
  <c r="L40" i="31" s="1"/>
  <c r="L41" i="31" s="1"/>
  <c r="L42" i="31" s="1"/>
  <c r="L43" i="31" s="1"/>
  <c r="L28" i="31"/>
  <c r="L27" i="31"/>
  <c r="N27" i="31"/>
  <c r="M18" i="34"/>
  <c r="K18" i="34"/>
  <c r="I18" i="34"/>
  <c r="H48" i="31"/>
  <c r="H49" i="31" s="1"/>
  <c r="H50" i="31" s="1"/>
  <c r="H51" i="31" s="1"/>
  <c r="H52" i="31" s="1"/>
  <c r="H53" i="31" s="1"/>
  <c r="H54" i="31" s="1"/>
  <c r="H55" i="31" s="1"/>
  <c r="H56" i="31" s="1"/>
  <c r="H57" i="31" s="1"/>
  <c r="H58" i="31" s="1"/>
  <c r="H59" i="31" s="1"/>
  <c r="H60" i="31" s="1"/>
  <c r="H61" i="31" s="1"/>
  <c r="H62" i="31" s="1"/>
  <c r="H63" i="31" s="1"/>
  <c r="H64" i="31" s="1"/>
  <c r="G49" i="31"/>
  <c r="G50" i="31" s="1"/>
  <c r="G51" i="31" s="1"/>
  <c r="G52" i="31" s="1"/>
  <c r="G53" i="31" s="1"/>
  <c r="G54" i="31" s="1"/>
  <c r="G55" i="31" s="1"/>
  <c r="G56" i="31" s="1"/>
  <c r="G57" i="31" s="1"/>
  <c r="G58" i="31" s="1"/>
  <c r="G59" i="31" s="1"/>
  <c r="G60" i="31" s="1"/>
  <c r="G61" i="31" s="1"/>
  <c r="G62" i="31" s="1"/>
  <c r="G63" i="31" s="1"/>
  <c r="G64" i="31" s="1"/>
  <c r="O15" i="13"/>
  <c r="M15" i="13"/>
  <c r="K15" i="13"/>
  <c r="I15" i="13"/>
  <c r="H4" i="31"/>
  <c r="H5" i="31" s="1"/>
  <c r="H6" i="31" s="1"/>
  <c r="H7" i="31" s="1"/>
  <c r="H8" i="31" s="1"/>
  <c r="H9" i="31" s="1"/>
  <c r="H10" i="31" s="1"/>
  <c r="H11" i="31" s="1"/>
  <c r="H12" i="31" s="1"/>
  <c r="H13" i="31" s="1"/>
  <c r="H14" i="31" s="1"/>
  <c r="H15" i="31" s="1"/>
  <c r="H16" i="31" s="1"/>
  <c r="H17" i="31" s="1"/>
  <c r="H18" i="31" s="1"/>
  <c r="H19" i="31" s="1"/>
  <c r="H20" i="31" s="1"/>
  <c r="H21" i="31" s="1"/>
  <c r="H22" i="31" s="1"/>
  <c r="G4" i="31"/>
  <c r="G5" i="31" s="1"/>
  <c r="G6" i="31" s="1"/>
  <c r="G7" i="31" s="1"/>
  <c r="G8" i="31" s="1"/>
  <c r="G9" i="31" s="1"/>
  <c r="G10" i="31" s="1"/>
  <c r="G11" i="31" s="1"/>
  <c r="G12" i="31" s="1"/>
  <c r="G13" i="31" s="1"/>
  <c r="G14" i="31" s="1"/>
  <c r="G15" i="31" s="1"/>
  <c r="G16" i="31" s="1"/>
  <c r="G17" i="31" s="1"/>
  <c r="G18" i="31" s="1"/>
  <c r="G19" i="31" s="1"/>
  <c r="G20" i="31" s="1"/>
  <c r="G21" i="31" s="1"/>
  <c r="G22" i="31" s="1"/>
  <c r="I13" i="33"/>
  <c r="M18" i="33"/>
  <c r="K18" i="33"/>
  <c r="I18" i="33"/>
  <c r="I13" i="14"/>
  <c r="O13" i="14"/>
  <c r="M13" i="14"/>
  <c r="K13" i="14"/>
  <c r="F27" i="31"/>
  <c r="M27" i="31"/>
  <c r="M28" i="31" s="1"/>
  <c r="M29" i="31" s="1"/>
  <c r="M30" i="31" s="1"/>
  <c r="M31" i="31" s="1"/>
  <c r="M32" i="31" s="1"/>
  <c r="M33" i="31" s="1"/>
  <c r="M34" i="31" s="1"/>
  <c r="M35" i="31" s="1"/>
  <c r="M36" i="31" s="1"/>
  <c r="M37" i="31" s="1"/>
  <c r="M38" i="31" s="1"/>
  <c r="M39" i="31" s="1"/>
  <c r="M40" i="31" s="1"/>
  <c r="M41" i="31" s="1"/>
  <c r="M42" i="31" s="1"/>
  <c r="M43" i="31" s="1"/>
  <c r="H27" i="31"/>
  <c r="H28" i="31" s="1"/>
  <c r="H29" i="31" s="1"/>
  <c r="H30" i="31" s="1"/>
  <c r="H31" i="31" s="1"/>
  <c r="H32" i="31" s="1"/>
  <c r="H33" i="31" s="1"/>
  <c r="H34" i="31" s="1"/>
  <c r="H35" i="31" s="1"/>
  <c r="H36" i="31" s="1"/>
  <c r="H37" i="31" s="1"/>
  <c r="H38" i="31" s="1"/>
  <c r="H39" i="31" s="1"/>
  <c r="H40" i="31" s="1"/>
  <c r="H41" i="31" s="1"/>
  <c r="H42" i="31" s="1"/>
  <c r="H43" i="31" s="1"/>
  <c r="M4" i="31"/>
  <c r="M5" i="31" s="1"/>
  <c r="M6" i="31" s="1"/>
  <c r="M7" i="31" s="1"/>
  <c r="M8" i="31" s="1"/>
  <c r="M9" i="31" s="1"/>
  <c r="M10" i="31" s="1"/>
  <c r="M11" i="31" s="1"/>
  <c r="M12" i="31" s="1"/>
  <c r="M13" i="31" s="1"/>
  <c r="M14" i="31" s="1"/>
  <c r="M15" i="31" s="1"/>
  <c r="M16" i="31" s="1"/>
  <c r="M17" i="31" s="1"/>
  <c r="M18" i="31" s="1"/>
  <c r="M19" i="31" s="1"/>
  <c r="M20" i="31" s="1"/>
  <c r="M21" i="31" s="1"/>
  <c r="M22" i="31" s="1"/>
  <c r="I5" i="31"/>
  <c r="I6" i="31" s="1"/>
  <c r="I7" i="31" s="1"/>
  <c r="I8" i="31" s="1"/>
  <c r="I9" i="31" s="1"/>
  <c r="I10" i="31" s="1"/>
  <c r="I11" i="31" s="1"/>
  <c r="I12" i="31" s="1"/>
  <c r="I13" i="31" s="1"/>
  <c r="I14" i="31" s="1"/>
  <c r="I15" i="31" s="1"/>
  <c r="I16" i="31" s="1"/>
  <c r="I17" i="31" s="1"/>
  <c r="I18" i="31" s="1"/>
  <c r="I19" i="31" s="1"/>
  <c r="I20" i="31" s="1"/>
  <c r="I21" i="31" s="1"/>
  <c r="I22" i="31" s="1"/>
  <c r="I4" i="31"/>
  <c r="C4" i="31"/>
  <c r="C5" i="31" s="1"/>
  <c r="C6" i="31" s="1"/>
  <c r="C7" i="31" s="1"/>
  <c r="C8" i="31" s="1"/>
  <c r="C9" i="31" s="1"/>
  <c r="C10" i="31" s="1"/>
  <c r="C11" i="31" s="1"/>
  <c r="C12" i="31" s="1"/>
  <c r="C13" i="31" s="1"/>
  <c r="C14" i="31" s="1"/>
  <c r="C15" i="31" s="1"/>
  <c r="C16" i="31" s="1"/>
  <c r="C17" i="31" s="1"/>
  <c r="C18" i="31" s="1"/>
  <c r="C19" i="31" s="1"/>
  <c r="C20" i="31" s="1"/>
  <c r="C21" i="31" s="1"/>
  <c r="C22" i="31" s="1"/>
  <c r="M16" i="34"/>
  <c r="I16" i="34"/>
  <c r="K16" i="34"/>
  <c r="I15" i="34"/>
  <c r="K15" i="34"/>
  <c r="O11" i="15"/>
  <c r="M11" i="15"/>
  <c r="K11" i="15"/>
  <c r="I11" i="15"/>
  <c r="O11" i="14"/>
  <c r="M11" i="14"/>
  <c r="K11" i="14"/>
  <c r="I11" i="14"/>
  <c r="M16" i="33"/>
  <c r="K16" i="33"/>
  <c r="I16" i="33"/>
  <c r="M13" i="30"/>
  <c r="K13" i="30"/>
  <c r="I13" i="30"/>
  <c r="M12" i="30"/>
  <c r="K12" i="30"/>
  <c r="I12" i="30"/>
  <c r="M10" i="30"/>
  <c r="K10" i="30"/>
  <c r="I10" i="30"/>
  <c r="M13" i="33"/>
  <c r="K13" i="33"/>
  <c r="M15" i="33"/>
  <c r="K15" i="33"/>
  <c r="I15" i="33"/>
  <c r="O22" i="13"/>
  <c r="M22" i="13"/>
  <c r="K22" i="13"/>
  <c r="I22" i="13"/>
  <c r="O23" i="13"/>
  <c r="M23" i="13"/>
  <c r="K23" i="13"/>
  <c r="I23" i="13"/>
  <c r="O20" i="13"/>
  <c r="M20" i="13"/>
  <c r="K20" i="13"/>
  <c r="I20" i="13"/>
  <c r="O19" i="13"/>
  <c r="M19" i="13"/>
  <c r="K19" i="13"/>
  <c r="I19" i="13"/>
  <c r="O21" i="13"/>
  <c r="M21" i="13"/>
  <c r="K21" i="13"/>
  <c r="I21" i="13"/>
  <c r="M15" i="34"/>
  <c r="B33" i="34"/>
  <c r="M14" i="13"/>
  <c r="I14" i="13"/>
  <c r="O13" i="13"/>
  <c r="M13" i="13"/>
  <c r="K13" i="13"/>
  <c r="I13" i="13"/>
  <c r="F28" i="31" l="1"/>
  <c r="F29" i="31" s="1"/>
  <c r="F30" i="31" s="1"/>
  <c r="F31" i="31" s="1"/>
  <c r="F32" i="31" s="1"/>
  <c r="F33" i="31" s="1"/>
  <c r="F34" i="31" s="1"/>
  <c r="F35" i="31" s="1"/>
  <c r="F36" i="31" s="1"/>
  <c r="F37" i="31" s="1"/>
  <c r="F38" i="31" s="1"/>
  <c r="F39" i="31" s="1"/>
  <c r="F40" i="31" s="1"/>
  <c r="F41" i="31" s="1"/>
  <c r="F42" i="31" s="1"/>
  <c r="F43" i="31" s="1"/>
  <c r="G27" i="34"/>
  <c r="M26" i="34"/>
  <c r="K26" i="34"/>
  <c r="I26" i="34"/>
  <c r="M25" i="34"/>
  <c r="K25" i="34"/>
  <c r="I25" i="34"/>
  <c r="M24" i="34"/>
  <c r="K24" i="34"/>
  <c r="I24" i="34"/>
  <c r="M23" i="34"/>
  <c r="K23" i="34"/>
  <c r="I23" i="34"/>
  <c r="M22" i="34"/>
  <c r="K22" i="34"/>
  <c r="I22" i="34"/>
  <c r="M17" i="34"/>
  <c r="I17" i="34"/>
  <c r="G15" i="34"/>
  <c r="B33" i="33"/>
  <c r="N12" i="32"/>
  <c r="N13" i="32"/>
  <c r="L13" i="32"/>
  <c r="J13" i="32"/>
  <c r="L12" i="32"/>
  <c r="J12" i="32"/>
  <c r="N10" i="32"/>
  <c r="L10" i="32"/>
  <c r="J10" i="32"/>
  <c r="G18" i="34" l="1"/>
  <c r="G17" i="34"/>
  <c r="G24" i="34"/>
  <c r="K19" i="34"/>
  <c r="K28" i="34"/>
  <c r="G25" i="34"/>
  <c r="M28" i="34"/>
  <c r="I28" i="34"/>
  <c r="M19" i="34"/>
  <c r="G16" i="34"/>
  <c r="G13" i="34"/>
  <c r="I19" i="34"/>
  <c r="M30" i="34" l="1"/>
  <c r="K30" i="34"/>
  <c r="G19" i="34"/>
  <c r="G28" i="34"/>
  <c r="I30" i="34"/>
  <c r="G30" i="34" l="1"/>
  <c r="N20" i="32"/>
  <c r="L20" i="32"/>
  <c r="J20" i="32"/>
  <c r="N22" i="32"/>
  <c r="L22" i="32"/>
  <c r="J22" i="32"/>
  <c r="N19" i="32"/>
  <c r="L19" i="32"/>
  <c r="J19" i="32"/>
  <c r="M26" i="33"/>
  <c r="K26" i="33"/>
  <c r="I26" i="33"/>
  <c r="M25" i="33"/>
  <c r="K25" i="33"/>
  <c r="I25" i="33"/>
  <c r="O21" i="14"/>
  <c r="M21" i="14"/>
  <c r="K21" i="14"/>
  <c r="I21" i="14"/>
  <c r="O20" i="14"/>
  <c r="M20" i="14"/>
  <c r="K20" i="14"/>
  <c r="I20" i="14"/>
  <c r="G24" i="13"/>
  <c r="G20" i="14" l="1"/>
  <c r="G25" i="33"/>
  <c r="I14" i="30"/>
  <c r="O18" i="15"/>
  <c r="M18" i="15"/>
  <c r="K18" i="15"/>
  <c r="I18" i="15"/>
  <c r="O17" i="15"/>
  <c r="M17" i="15"/>
  <c r="K17" i="15"/>
  <c r="I17" i="15"/>
  <c r="O19" i="14"/>
  <c r="M19" i="14"/>
  <c r="K19" i="14"/>
  <c r="I19" i="14"/>
  <c r="G27" i="33"/>
  <c r="M24" i="33"/>
  <c r="K24" i="33"/>
  <c r="I24" i="33"/>
  <c r="M23" i="33"/>
  <c r="K23" i="33"/>
  <c r="I23" i="33"/>
  <c r="M22" i="33"/>
  <c r="K22" i="33"/>
  <c r="I22" i="33"/>
  <c r="M17" i="33"/>
  <c r="I17" i="33"/>
  <c r="K19" i="33" l="1"/>
  <c r="K28" i="33"/>
  <c r="M28" i="33"/>
  <c r="G17" i="33"/>
  <c r="M19" i="33"/>
  <c r="G24" i="33"/>
  <c r="G18" i="33"/>
  <c r="I28" i="33"/>
  <c r="I19" i="33"/>
  <c r="G16" i="33"/>
  <c r="G15" i="33"/>
  <c r="G13" i="33"/>
  <c r="K30" i="33" l="1"/>
  <c r="G28" i="33"/>
  <c r="M30" i="33"/>
  <c r="G19" i="33"/>
  <c r="I30" i="33"/>
  <c r="G30" i="33" l="1"/>
  <c r="N21" i="32"/>
  <c r="L21" i="32"/>
  <c r="J21" i="32"/>
  <c r="M22" i="30"/>
  <c r="K22" i="30"/>
  <c r="I22" i="30"/>
  <c r="M21" i="30"/>
  <c r="K21" i="30"/>
  <c r="I21" i="30"/>
  <c r="M12" i="14" l="1"/>
  <c r="I12" i="14"/>
  <c r="G18" i="15" l="1"/>
  <c r="G17" i="15"/>
  <c r="G22" i="13"/>
  <c r="G21" i="13"/>
  <c r="G19" i="14"/>
  <c r="G25" i="13" l="1"/>
  <c r="N14" i="32"/>
  <c r="J14" i="32"/>
  <c r="J23" i="32" l="1"/>
  <c r="J25" i="32" s="1"/>
  <c r="L23" i="32"/>
  <c r="L25" i="32" s="1"/>
  <c r="N23" i="32"/>
  <c r="N25" i="32" s="1"/>
  <c r="H24" i="32"/>
  <c r="H13" i="32" l="1"/>
  <c r="N16" i="32"/>
  <c r="H14" i="32"/>
  <c r="H15" i="32"/>
  <c r="L16" i="32"/>
  <c r="H12" i="32"/>
  <c r="H10" i="32"/>
  <c r="H21" i="32"/>
  <c r="H22" i="32"/>
  <c r="J16" i="32"/>
  <c r="H25" i="32" l="1"/>
  <c r="N27" i="32"/>
  <c r="L27" i="32"/>
  <c r="H16" i="32"/>
  <c r="J27" i="32"/>
  <c r="H27" i="32" l="1"/>
  <c r="M14" i="30" l="1"/>
  <c r="G22" i="30" l="1"/>
  <c r="G21" i="30"/>
  <c r="G24" i="30" l="1"/>
  <c r="M23" i="30"/>
  <c r="K23" i="30"/>
  <c r="I23" i="30"/>
  <c r="M20" i="30"/>
  <c r="K20" i="30"/>
  <c r="I20" i="30"/>
  <c r="M19" i="30"/>
  <c r="K19" i="30"/>
  <c r="I19" i="30"/>
  <c r="M16" i="30" l="1"/>
  <c r="G14" i="30"/>
  <c r="G15" i="30"/>
  <c r="K16" i="30"/>
  <c r="I16" i="30"/>
  <c r="G13" i="30"/>
  <c r="G12" i="30"/>
  <c r="M25" i="30"/>
  <c r="G25" i="30"/>
  <c r="G10" i="30"/>
  <c r="M27" i="30" l="1"/>
  <c r="G16" i="30"/>
  <c r="G27" i="30" s="1"/>
  <c r="I25" i="30"/>
  <c r="I27" i="30" s="1"/>
  <c r="K25" i="30"/>
  <c r="K27" i="30" s="1"/>
  <c r="O19" i="15" l="1"/>
  <c r="O16" i="15"/>
  <c r="O15" i="15"/>
  <c r="M19" i="15"/>
  <c r="M16" i="15"/>
  <c r="M15" i="15"/>
  <c r="K19" i="15"/>
  <c r="K16" i="15"/>
  <c r="K15" i="15"/>
  <c r="I19" i="15"/>
  <c r="I16" i="15"/>
  <c r="I15" i="15"/>
  <c r="O18" i="14"/>
  <c r="M18" i="14"/>
  <c r="K18" i="14"/>
  <c r="O17" i="14"/>
  <c r="M17" i="14"/>
  <c r="K17" i="14"/>
  <c r="O25" i="13" l="1"/>
  <c r="I25" i="13"/>
  <c r="K25" i="13"/>
  <c r="M25" i="13"/>
  <c r="G20" i="15"/>
  <c r="M21" i="15" l="1"/>
  <c r="O12" i="15"/>
  <c r="M12" i="15"/>
  <c r="K12" i="15"/>
  <c r="G11" i="15"/>
  <c r="I12" i="15"/>
  <c r="G10" i="15"/>
  <c r="G21" i="15"/>
  <c r="I18" i="14"/>
  <c r="I17" i="14"/>
  <c r="G22" i="14"/>
  <c r="O21" i="15" l="1"/>
  <c r="O23" i="15" s="1"/>
  <c r="M23" i="15"/>
  <c r="M23" i="14"/>
  <c r="G14" i="13"/>
  <c r="G15" i="13"/>
  <c r="G23" i="14"/>
  <c r="I21" i="15"/>
  <c r="I23" i="15" s="1"/>
  <c r="G12" i="15"/>
  <c r="G23" i="15" s="1"/>
  <c r="K21" i="15"/>
  <c r="K23" i="15" s="1"/>
  <c r="G12" i="14"/>
  <c r="G13" i="14"/>
  <c r="O14" i="14"/>
  <c r="K14" i="14"/>
  <c r="M14" i="14"/>
  <c r="G10" i="14"/>
  <c r="I14" i="14"/>
  <c r="G11" i="14"/>
  <c r="K16" i="13"/>
  <c r="K27" i="13" s="1"/>
  <c r="O16" i="13"/>
  <c r="O27" i="13" s="1"/>
  <c r="M16" i="13"/>
  <c r="M27" i="13" s="1"/>
  <c r="I16" i="13"/>
  <c r="I27" i="13" s="1"/>
  <c r="K23" i="14" l="1"/>
  <c r="K25" i="14" s="1"/>
  <c r="I23" i="14"/>
  <c r="I25" i="14" s="1"/>
  <c r="O23" i="14"/>
  <c r="O25" i="14" s="1"/>
  <c r="G14" i="14"/>
  <c r="G25" i="14" s="1"/>
  <c r="M25" i="14"/>
  <c r="G12" i="13"/>
  <c r="G13" i="13"/>
  <c r="G16" i="13" l="1"/>
  <c r="G27" i="13" s="1"/>
</calcChain>
</file>

<file path=xl/sharedStrings.xml><?xml version="1.0" encoding="utf-8"?>
<sst xmlns="http://schemas.openxmlformats.org/spreadsheetml/2006/main" count="461" uniqueCount="125">
  <si>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</si>
  <si>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</si>
  <si>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</si>
  <si>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</si>
  <si>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</si>
  <si>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</si>
  <si>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</si>
  <si>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</si>
  <si>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</si>
  <si>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</si>
  <si>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</si>
  <si>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</si>
  <si>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</si>
  <si>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</si>
  <si>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</si>
  <si>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</si>
  <si>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</si>
  <si>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</si>
  <si>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</si>
  <si>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</si>
  <si>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What is the starting term for your cohort?</t>
  </si>
  <si>
    <t>Health Insurance</t>
  </si>
  <si>
    <t>Other Annual Assistance</t>
  </si>
  <si>
    <t>Payment(s) Made and/or Employer Reimbursements</t>
  </si>
  <si>
    <t>Denver MBA</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</si>
  <si>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</si>
  <si>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</si>
  <si>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</si>
  <si>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</si>
  <si>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</si>
  <si>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</si>
  <si>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</si>
  <si>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</si>
  <si>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</si>
  <si>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</si>
  <si>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</si>
  <si>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</si>
  <si>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</si>
  <si>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</si>
  <si>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</si>
  <si>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</si>
  <si>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</si>
  <si>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EMBA</t>
  </si>
  <si>
    <t>not enrolled</t>
  </si>
  <si>
    <t>How many credits will you take each quarter?</t>
  </si>
  <si>
    <t>Tech Fee</t>
  </si>
  <si>
    <t>Executive PhD</t>
  </si>
  <si>
    <t>Student Fee</t>
  </si>
  <si>
    <t>Denver MBA Full-Time Program</t>
  </si>
  <si>
    <t>Professional MBA Program</t>
  </si>
  <si>
    <t>MBA@ Denver Online Program</t>
  </si>
  <si>
    <t>Executive PhD Program</t>
  </si>
  <si>
    <t>21 credits</t>
  </si>
  <si>
    <t>22 credits</t>
  </si>
  <si>
    <t>Master's in Business Analytics Program</t>
  </si>
  <si>
    <t>All Other Specialized Master's Programs</t>
  </si>
  <si>
    <t>Will you enroll in DU's Health Insurance Plan?</t>
  </si>
  <si>
    <r>
      <rPr>
        <b/>
        <i/>
        <sz val="11"/>
        <color rgb="FF000000"/>
        <rFont val="Calibri"/>
        <family val="2"/>
        <scheme val="minor"/>
      </rPr>
      <t xml:space="preserve">Note: </t>
    </r>
    <r>
      <rPr>
        <i/>
        <sz val="11"/>
        <color rgb="FF000000"/>
        <rFont val="Calibri"/>
        <family val="2"/>
        <scheme val="minor"/>
      </rPr>
      <t xml:space="preserve">If you are in the Master's of Business Analytics program, please use the worksheet on the previous tab. </t>
    </r>
  </si>
  <si>
    <t>Business Analytics</t>
  </si>
  <si>
    <t>PMBA &amp; 2U</t>
  </si>
  <si>
    <t>Executive MBA Program</t>
  </si>
  <si>
    <t>Choose Your Program:</t>
  </si>
  <si>
    <t>Tuition</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</si>
  <si>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</si>
  <si>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</si>
  <si>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</si>
  <si>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</si>
  <si>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</si>
  <si>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t>Master's Programs</t>
  </si>
  <si>
    <t>Denver MBA Tuition:</t>
  </si>
  <si>
    <t>The tuition rate for students who started in the fall of 2024 is $1,236 per credit.</t>
  </si>
  <si>
    <t>EMBA Tuition:</t>
  </si>
  <si>
    <t>The tuition rate for students who started in the fall of 2024 or spring of 2025 is $1,743 per credit.</t>
  </si>
  <si>
    <t>This worksheet automatically deducts the 1.057% origination fee from the Direct Unsubsidized loan amount. Most students who submit the FAFSA are eligible to 
borrow up to $20,500 in an unsubsidized loan per academic year.</t>
  </si>
  <si>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</si>
  <si>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4</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</si>
  <si>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</si>
  <si>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Exec PhD Tuition:</t>
  </si>
  <si>
    <t>The tuition rate for students who started in the fall of 2024 is $1,623 per credit.</t>
  </si>
  <si>
    <t>2025 Fall Quarter</t>
  </si>
  <si>
    <t>2025 Start</t>
  </si>
  <si>
    <t>2025 Fall or 2026 Spring Quarter</t>
  </si>
  <si>
    <t>The tuition rate for students who started in the fall of 2025 is $1,236 per credit.</t>
  </si>
  <si>
    <t>The tuition rate for students who started in the fall of 2025 or spring of 2026 is $1,830 per credit.</t>
  </si>
  <si>
    <t>The tuition rate for students who started in the fall of 2025 is $1,680 per credit.</t>
  </si>
  <si>
    <r>
      <t xml:space="preserve">2026-27 Estimated Billing Worksheets
</t>
    </r>
    <r>
      <rPr>
        <b/>
        <i/>
        <sz val="16"/>
        <color theme="1"/>
        <rFont val="Calibri"/>
        <family val="2"/>
        <scheme val="minor"/>
      </rPr>
      <t>Daniels College of Business</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</si>
  <si>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</si>
  <si>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The tuition rate for students who started in the fall of 2026 is $1,680 per credit.</t>
  </si>
  <si>
    <t>The tuition rate for students who started in the fall of 2026 or spring of 2027 is $1,600 per credit.</t>
  </si>
  <si>
    <t>The tuition rate for students who started in the fall of 2026 is $1,150 per credit.</t>
  </si>
  <si>
    <t>2026 Start</t>
  </si>
  <si>
    <t>FALL 2026:</t>
  </si>
  <si>
    <t>WINTER 2027:</t>
  </si>
  <si>
    <t>SPRING 2027:</t>
  </si>
  <si>
    <t>SUMMER 2027:</t>
  </si>
  <si>
    <t>FALL 2026</t>
  </si>
  <si>
    <t>WINTER 2027</t>
  </si>
  <si>
    <t>SPRING 2027</t>
  </si>
  <si>
    <t>SUMMER 2027</t>
  </si>
  <si>
    <t>2026-27 Estimated Billing Worksheet
Professional MBA Program</t>
  </si>
  <si>
    <t>2026-27 Estimated Billing Worksheet
Denver MBA Full-Time Program</t>
  </si>
  <si>
    <t>2026 Fall Quarter</t>
  </si>
  <si>
    <t>Technology fees are $8 per credit. If you will be enrolled in less than 4 credits, you will not be eligible for federal student loans.</t>
  </si>
  <si>
    <r>
      <t xml:space="preserve">The Health and Counseling Fee is $258 per quarter, and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</si>
  <si>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t>2026-27 Estimated Billing Worksheet
Executive MBA Program</t>
  </si>
  <si>
    <t>2026 Fall or 2027 Spring Quarter</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</si>
  <si>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 their program in fall 2024 or later and are enrolled in 8 or more credits. Students who started prior to fall 2024 can waive this fee (just delete the amount in these fields if you plan to waive it).</t>
    </r>
  </si>
  <si>
    <t>2026-27 Estimated Billing Worksheet
Executive PhD Program</t>
  </si>
  <si>
    <r>
      <rPr>
        <vertAlign val="superscript"/>
        <sz val="11"/>
        <color theme="1"/>
        <rFont val="Calibri"/>
        <family val="2"/>
        <scheme val="minor"/>
      </rPr>
      <t>3</t>
    </r>
    <r>
      <rPr>
        <sz val="11"/>
        <color theme="1"/>
        <rFont val="Calibri"/>
        <family val="2"/>
        <scheme val="minor"/>
      </rP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an on-campus program in fall 2024 or later
   and are enrolled in 8 or more credits. Students in online programs are not charged this fee, and those who started prior to fall 2024 can waive it.
   (Just delete the amount in these fields if you plan to waive it or are enrolled in the online MBA program).</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</si>
  <si>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</si>
  <si>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t>2627 Tuition</t>
  </si>
  <si>
    <t>2526 Tuition</t>
  </si>
  <si>
    <r>
      <t>1</t>
    </r>
    <r>
      <rPr>
        <sz val="11"/>
        <color theme="1"/>
        <rFont val="Calibri"/>
        <family val="2"/>
        <scheme val="minor"/>
      </rPr>
      <t>Please choose a starting term for your cohort above.</t>
    </r>
  </si>
  <si>
    <t>2026-27 Estimated Billing Worksheet
Most Specialized Master's Programs</t>
  </si>
  <si>
    <t>Tuition for the 2026-2027 academic year is $1,550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</si>
  <si>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</si>
  <si>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</si>
  <si>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</si>
  <si>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r>
      <rPr>
        <vertAlign val="superscript"/>
        <sz val="11"/>
        <color theme="1"/>
        <rFont val="Calibri"/>
        <family val="2"/>
        <scheme val="minor"/>
      </rPr>
      <t>5</t>
    </r>
    <r>
      <rPr>
        <sz val="11"/>
        <color theme="1"/>
        <rFont val="Calibri"/>
        <family val="2"/>
        <scheme val="minor"/>
      </rPr>
      <t xml:space="preserve"> 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t>
    </r>
    <r>
      <rPr>
        <b/>
        <sz val="11"/>
        <color theme="1"/>
        <rFont val="Calibri"/>
        <family val="2"/>
        <scheme val="minor"/>
      </rPr>
      <t xml:space="preserve"> www.du.edu/federal-updates</t>
    </r>
    <r>
      <rPr>
        <sz val="11"/>
        <color theme="1"/>
        <rFont val="Calibri"/>
        <family val="2"/>
        <scheme val="minor"/>
      </rPr>
      <t xml:space="preserve">.  </t>
    </r>
  </si>
  <si>
    <t>2026-27 Estimated Billing Worksheet
MBA@Denver Online Program</t>
  </si>
  <si>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</si>
  <si>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Daniels College of Business MS in Business Analytics Program</t>
  </si>
  <si>
    <r>
      <t>1</t>
    </r>
    <r>
      <rPr>
        <sz val="11"/>
        <color theme="1"/>
        <rFont val="Calibri"/>
        <family val="2"/>
        <scheme val="minor"/>
      </rPr>
      <t>Tuition for 2025-2026 academic year is $1,250 per credit.</t>
    </r>
  </si>
  <si>
    <r>
      <rPr>
        <vertAlign val="superscript"/>
        <sz val="11"/>
        <color theme="1"/>
        <rFont val="Calibri"/>
        <family val="2"/>
        <scheme val="minor"/>
      </rPr>
      <t>3</t>
    </r>
    <r>
      <rPr>
        <sz val="11"/>
        <color theme="1"/>
        <rFont val="Calibri"/>
        <family val="2"/>
        <scheme val="minor"/>
      </rP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</si>
  <si>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rPr>
        <vertAlign val="superscript"/>
        <sz val="11"/>
        <color theme="1"/>
        <rFont val="Calibri"/>
        <family val="2"/>
        <scheme val="minor"/>
      </rPr>
      <t>5</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www.du.edu/federal-updates.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</si>
</sst>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u/>
      <vertAlign val="superscript"/>
      <sz val="11"/>
      <color theme="10"/>
      <name val="Calibri"/>
      <family val="2"/>
      <scheme val="minor"/>
    </font>
    <font>
      <i/>
      <sz val="11"/>
      <color theme="1"/>
      <name val="Calibri"/>
      <family val="2"/>
      <scheme val="minor"/>
    </font>
    <font>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
      <patternFill patternType="solid">
        <fgColor rgb="FFFFFF00"/>
        <bgColor indexed="64"/>
      </patternFill>
    </fill>
  </fills>
  <borders count="16">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right style="dotted">
        <color auto="1"/>
      </right>
      <top style="dashed">
        <color auto="1"/>
      </top>
      <bottom style="dashed">
        <color auto="1"/>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89">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0" fillId="0" borderId="3" xfId="0"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0" fillId="2" borderId="10" xfId="1" applyFont="1" applyFill="1" applyBorder="1" applyProtection="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44" fontId="0" fillId="3" borderId="0" xfId="0" applyNumberFormat="1" applyFill="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1"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12" xfId="1" applyFont="1" applyFill="1" applyBorder="1" applyProtection="1">
      <protection locked="0"/>
    </xf>
    <xf numFmtId="0" fontId="15" fillId="0" borderId="0" xfId="0" applyFont="1" applyAlignment="1">
      <alignment horizontal="left" vertical="top" indent="1"/>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3" xfId="1" applyFont="1" applyBorder="1" applyAlignment="1">
      <alignment horizontal="center"/>
    </xf>
    <xf numFmtId="0" fontId="3" fillId="0" borderId="0" xfId="0" applyFont="1" applyAlignment="1">
      <alignment horizontal="right" vertical="top" wrapText="1"/>
    </xf>
    <xf numFmtId="0" fontId="3" fillId="0" borderId="0" xfId="0" applyFont="1" applyAlignment="1">
      <alignment horizontal="right" vertical="top"/>
    </xf>
    <xf numFmtId="0" fontId="0" fillId="0" borderId="14" xfId="0" applyBorder="1"/>
    <xf numFmtId="0" fontId="5" fillId="0" borderId="0" xfId="0" applyFont="1" applyAlignment="1">
      <alignment vertical="top"/>
    </xf>
    <xf numFmtId="44" fontId="0" fillId="4" borderId="12" xfId="1" applyFont="1" applyFill="1" applyBorder="1" applyProtection="1">
      <protection locked="0"/>
    </xf>
    <xf numFmtId="44" fontId="0" fillId="4" borderId="12" xfId="0" applyNumberFormat="1" applyFill="1" applyBorder="1" applyProtection="1">
      <protection locked="0"/>
    </xf>
    <xf numFmtId="0" fontId="2" fillId="5" borderId="0" xfId="0" applyFont="1" applyFill="1"/>
    <xf numFmtId="0" fontId="0" fillId="5" borderId="0" xfId="0" applyFill="1"/>
    <xf numFmtId="0" fontId="2" fillId="5" borderId="0" xfId="0" applyFont="1" applyFill="1" applyAlignment="1">
      <alignment horizontal="right"/>
    </xf>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0" borderId="0" xfId="0" applyAlignment="1">
      <alignment horizontal="left" wrapText="1"/>
    </xf>
    <xf numFmtId="0" fontId="3" fillId="0" borderId="3" xfId="0" applyFont="1" applyBorder="1" applyAlignment="1">
      <alignment horizontal="right" vertical="top" wrapText="1"/>
    </xf>
    <xf numFmtId="0" fontId="5" fillId="0" borderId="0" xfId="0" applyFont="1" applyAlignment="1">
      <alignment horizontal="left" wrapText="1"/>
    </xf>
    <xf numFmtId="0" fontId="11" fillId="0" borderId="0" xfId="0" applyFont="1" applyAlignment="1">
      <alignment horizontal="left" vertical="center" wrapText="1" indent="1"/>
    </xf>
    <xf numFmtId="0" fontId="0" fillId="3" borderId="0" xfId="0" applyFill="1" applyAlignment="1">
      <alignment horizontal="center"/>
    </xf>
    <xf numFmtId="0" fontId="0" fillId="3" borderId="3" xfId="0" applyFill="1" applyBorder="1" applyAlignment="1">
      <alignment horizontal="left"/>
    </xf>
    <xf numFmtId="0" fontId="13" fillId="3" borderId="0" xfId="2" applyFill="1" applyBorder="1" applyAlignment="1">
      <alignment horizontal="left"/>
    </xf>
    <xf numFmtId="0" fontId="13" fillId="3" borderId="11" xfId="2" applyFill="1" applyBorder="1" applyAlignment="1">
      <alignment horizontal="left"/>
    </xf>
    <xf numFmtId="0" fontId="13" fillId="0" borderId="3" xfId="2" applyFill="1" applyBorder="1" applyAlignment="1">
      <alignment horizontal="left"/>
    </xf>
    <xf numFmtId="0" fontId="3" fillId="0" borderId="0" xfId="0" applyFont="1" applyAlignment="1">
      <alignment horizontal="right" vertical="top" wrapText="1"/>
    </xf>
    <xf numFmtId="0" fontId="3" fillId="0" borderId="0" xfId="0" applyFont="1" applyAlignment="1">
      <alignment horizontal="right" vertical="top"/>
    </xf>
    <xf numFmtId="0" fontId="4" fillId="2" borderId="8" xfId="0" applyFont="1" applyFill="1" applyBorder="1" applyAlignment="1" applyProtection="1">
      <alignment horizontal="left" wrapText="1"/>
      <protection locked="0"/>
    </xf>
    <xf numFmtId="0" fontId="4" fillId="2" borderId="9" xfId="0" applyFont="1" applyFill="1" applyBorder="1" applyAlignment="1" applyProtection="1">
      <alignment horizontal="left" wrapText="1"/>
      <protection locked="0"/>
    </xf>
    <xf numFmtId="0" fontId="4" fillId="2" borderId="15" xfId="0" applyFont="1" applyFill="1" applyBorder="1" applyAlignment="1" applyProtection="1">
      <alignment horizontal="left" wrapText="1"/>
      <protection locked="0"/>
    </xf>
    <xf numFmtId="0" fontId="4" fillId="2" borderId="8" xfId="0" applyFont="1" applyFill="1" applyBorder="1" applyAlignment="1" applyProtection="1">
      <alignment horizontal="center" wrapText="1"/>
      <protection locked="0"/>
    </xf>
    <xf numFmtId="0" fontId="4" fillId="2" borderId="9" xfId="0" applyFont="1" applyFill="1" applyBorder="1" applyAlignment="1" applyProtection="1">
      <alignment horizontal="center" wrapText="1"/>
      <protection locked="0"/>
    </xf>
    <xf numFmtId="0" fontId="4" fillId="2" borderId="15" xfId="0" applyFont="1" applyFill="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1</xdr:row>
      <xdr:rowOff>104760</xdr:rowOff>
    </xdr:from>
    <xdr:ext cx="1828800" cy="423672"/>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6" y="323835"/>
          <a:ext cx="1828800" cy="42367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778206</xdr:colOff>
      <xdr:row>1</xdr:row>
      <xdr:rowOff>561975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959306" cy="4539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911135CF-A4F2-4656-BCF1-1D542B495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1430"/>
          <a:ext cx="1920890" cy="4348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4"/>
    </row>
    <row r="2" spans="1:4" ht="47.25" customHeight="1" x14ac:dyDescent="0.35">
      <c r="B2" s="68" t="s">
        <v>85</v>
      </c>
      <c r="C2" s="69"/>
      <c r="D2" s="69"/>
    </row>
    <row r="3" spans="1:4" ht="8.25" customHeight="1" x14ac:dyDescent="0.25">
      <c r="B3" s="20"/>
      <c r="C3" s="22"/>
      <c r="D3" s="22"/>
    </row>
    <row r="4" spans="1:4" ht="66.75" customHeight="1" x14ac:dyDescent="0.25">
      <c r="B4" s="70" t="s">
        <v>86</v>
      </c>
      <c r="C4" s="70"/>
      <c r="D4" s="70"/>
    </row>
    <row r="5" spans="1:4" ht="21.75" customHeight="1" x14ac:dyDescent="0.25">
      <c r="C5"/>
    </row>
    <row r="6" spans="1:4" ht="27" customHeight="1" x14ac:dyDescent="0.25">
      <c r="B6" s="42" t="s">
        <v>61</v>
      </c>
      <c r="C6"/>
    </row>
    <row r="7" spans="1:4" x14ac:dyDescent="0.25">
      <c r="B7" s="43" t="s">
        <v>54</v>
      </c>
    </row>
    <row r="8" spans="1:4" x14ac:dyDescent="0.25">
      <c r="B8" s="43" t="s">
        <v>55</v>
      </c>
    </row>
    <row r="9" spans="1:4" x14ac:dyDescent="0.25">
      <c r="B9" s="43" t="s">
        <v>48</v>
      </c>
    </row>
    <row r="10" spans="1:4" x14ac:dyDescent="0.25">
      <c r="B10" s="43" t="s">
        <v>49</v>
      </c>
    </row>
    <row r="11" spans="1:4" x14ac:dyDescent="0.25">
      <c r="B11" s="43" t="s">
        <v>60</v>
      </c>
    </row>
    <row r="12" spans="1:4" x14ac:dyDescent="0.25">
      <c r="B12" s="43" t="s">
        <v>50</v>
      </c>
    </row>
    <row r="13" spans="1:4" x14ac:dyDescent="0.25">
      <c r="B13" s="43" t="s">
        <v>51</v>
      </c>
    </row>
    <row r="17" spans="2:4" x14ac:dyDescent="0.25">
      <c r="B17" s="67" t="s">
        <v>14</v>
      </c>
      <c r="C17" s="67"/>
      <c r="D17" s="67"/>
    </row>
  </sheetData>
  <sheetProtection selectLockedCells="1"/>
  <mergeCells count="3">
    <mergeCell ref="B17:D17"/>
    <mergeCell ref="B2:D2"/>
    <mergeCell ref="B4:D4"/>
  </mergeCells>
  <hyperlinks>
    <hyperlink ref="B8" location="'Master''s'!A1" display="All Other Specialized Master's Programs" xr:uid="{00000000-0004-0000-0000-000000000000}"/>
    <hyperlink ref="B9" location="'Denver MBA'!A1" display="Denver MBA Full-Time Program" xr:uid="{00000000-0004-0000-0000-000001000000}"/>
    <hyperlink ref="B10" location="PMBA!A1" display="Professional MBA Program" xr:uid="{00000000-0004-0000-0000-000002000000}"/>
    <hyperlink ref="B11" location="EMBA!A1" display="Executive MBA Program" xr:uid="{00000000-0004-0000-0000-000003000000}"/>
    <hyperlink ref="B12" location="'MBA@Denver'!A1" display="MBA@ Denver Online Program" xr:uid="{00000000-0004-0000-0000-000004000000}"/>
    <hyperlink ref="B13" location="'Executive PhD'!A1" display="Executive PhD Program" xr:uid="{00000000-0004-0000-0000-000005000000}"/>
    <hyperlink ref="B7" location="BA!A1" display="Master's in Business Analytics Program" xr:uid="{00000000-0004-0000-0000-000006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3" t="s">
        <v>121</v>
      </c>
      <c r="G2" s="73"/>
      <c r="H2" s="73"/>
      <c r="I2" s="73"/>
      <c r="J2" s="73"/>
      <c r="K2" s="73"/>
      <c r="L2" s="73"/>
      <c r="M2" s="73"/>
      <c r="N2" s="73"/>
    </row>
    <row r="3" spans="2:14" ht="8.25" customHeight="1" x14ac:dyDescent="0.25">
      <c r="B3" s="20"/>
      <c r="C3" s="20"/>
      <c r="D3" s="20"/>
      <c r="E3" s="20"/>
      <c r="F3" s="20"/>
      <c r="G3" s="21"/>
      <c r="H3" s="22"/>
      <c r="I3" s="22"/>
      <c r="J3" s="22"/>
      <c r="K3" s="22"/>
      <c r="L3" s="22"/>
      <c r="M3" s="22"/>
      <c r="N3" s="22"/>
    </row>
    <row r="4" spans="2:14" ht="12" customHeight="1" x14ac:dyDescent="0.25">
      <c r="B4" s="75"/>
      <c r="C4" s="75"/>
      <c r="D4" s="75"/>
      <c r="E4" s="75"/>
      <c r="F4" s="75"/>
      <c r="G4" s="75"/>
      <c r="H4" s="75"/>
      <c r="I4" s="75"/>
      <c r="J4" s="75"/>
      <c r="K4" s="75"/>
      <c r="L4" s="75"/>
      <c r="M4" s="75"/>
      <c r="N4" s="75"/>
    </row>
    <row r="5" spans="2:14" ht="19.5" customHeight="1" x14ac:dyDescent="0.25">
      <c r="I5" s="46" t="s">
        <v>91</v>
      </c>
      <c r="K5" s="46" t="s">
        <v>92</v>
      </c>
      <c r="M5" s="46" t="s">
        <v>93</v>
      </c>
    </row>
    <row r="6" spans="2:14" ht="18" customHeight="1" x14ac:dyDescent="0.3">
      <c r="C6" s="6" t="s">
        <v>15</v>
      </c>
      <c r="D6" s="29"/>
      <c r="E6" s="29"/>
      <c r="F6" s="29"/>
      <c r="G6" s="29"/>
      <c r="H6" s="29"/>
      <c r="I6" s="45" t="s">
        <v>63</v>
      </c>
      <c r="K6" s="45" t="s">
        <v>63</v>
      </c>
      <c r="L6" s="23"/>
      <c r="M6" s="45" t="s">
        <v>63</v>
      </c>
      <c r="N6" s="29"/>
    </row>
    <row r="7" spans="2:14" ht="6" customHeight="1" x14ac:dyDescent="0.25"/>
    <row r="8" spans="2:14" ht="15.75" thickBot="1" x14ac:dyDescent="0.3">
      <c r="B8" s="1" t="s">
        <v>7</v>
      </c>
      <c r="C8" s="2"/>
      <c r="D8" s="2"/>
      <c r="E8" s="2"/>
      <c r="F8" s="2"/>
      <c r="G8" s="4" t="s">
        <v>3</v>
      </c>
      <c r="H8" s="3"/>
      <c r="I8" s="4" t="s">
        <v>95</v>
      </c>
      <c r="J8" s="3"/>
      <c r="K8" s="4" t="s">
        <v>96</v>
      </c>
      <c r="L8" s="4"/>
      <c r="M8" s="4" t="s">
        <v>97</v>
      </c>
      <c r="N8" s="2"/>
    </row>
    <row r="9" spans="2:14" ht="9" customHeight="1" x14ac:dyDescent="0.25"/>
    <row r="10" spans="2:14" ht="21.75" customHeight="1" x14ac:dyDescent="0.25">
      <c r="B10" s="10" t="s">
        <v>1</v>
      </c>
      <c r="C10" s="76"/>
      <c r="D10" s="76"/>
      <c r="E10" s="11"/>
      <c r="F10" s="11"/>
      <c r="G10" s="12">
        <f>I10+K10+M10</f>
        <v>0</v>
      </c>
      <c r="H10" s="11"/>
      <c r="I10" s="12">
        <f>VLOOKUP(I6,Data1!A2:B22, 2, FALSE)</f>
        <v>0</v>
      </c>
      <c r="J10" s="11"/>
      <c r="K10" s="12">
        <f>VLOOKUP(K6,Data1!A2:B22, 2, FALSE)</f>
        <v>0</v>
      </c>
      <c r="L10" s="12"/>
      <c r="M10" s="12">
        <f>VLOOKUP(M6,Data1!A2:B22, 2, FALSE)</f>
        <v>0</v>
      </c>
      <c r="N10" s="11"/>
    </row>
    <row r="11" spans="2:14" ht="21.75" customHeight="1" x14ac:dyDescent="0.25">
      <c r="B11" s="35" t="s">
        <v>0</v>
      </c>
    </row>
    <row r="12" spans="2:14" ht="21.75" customHeight="1" x14ac:dyDescent="0.25">
      <c r="B12" s="13" t="s">
        <v>2</v>
      </c>
      <c r="C12" s="11"/>
      <c r="D12" s="11"/>
      <c r="E12" s="11"/>
      <c r="F12" s="11"/>
      <c r="G12" s="12">
        <f>I12+K12+M12</f>
        <v>0</v>
      </c>
      <c r="H12" s="11"/>
      <c r="I12" s="12">
        <f>VLOOKUP(I6,Data1!A2:C22, 3, FALSE)</f>
        <v>0</v>
      </c>
      <c r="J12" s="11"/>
      <c r="K12" s="12">
        <f>VLOOKUP(K6, Data1!A2:C22, 3, FALSE)</f>
        <v>0</v>
      </c>
      <c r="L12" s="12"/>
      <c r="M12" s="12">
        <f>VLOOKUP(M6, Data1!A2:C22, 3, FALSE)</f>
        <v>0</v>
      </c>
      <c r="N12" s="11"/>
    </row>
    <row r="13" spans="2:14" ht="21.75" customHeight="1" x14ac:dyDescent="0.25">
      <c r="B13" s="39" t="s">
        <v>17</v>
      </c>
      <c r="G13" s="5">
        <f>I13+K13+M13</f>
        <v>0</v>
      </c>
      <c r="I13" s="5">
        <f>VLOOKUP(I6,Data1!A2:D22, 4, FALSE)</f>
        <v>0</v>
      </c>
      <c r="K13" s="5">
        <f>VLOOKUP(K6, Data1!A2:D22, 4, FALSE)</f>
        <v>0</v>
      </c>
      <c r="M13" s="5">
        <f>VLOOKUP(M6, Data1!A2:D22, 4, FALSE)</f>
        <v>0</v>
      </c>
    </row>
    <row r="14" spans="2:14" ht="21.75" customHeight="1" x14ac:dyDescent="0.25">
      <c r="B14" s="78" t="s">
        <v>56</v>
      </c>
      <c r="C14" s="78"/>
      <c r="D14" s="79"/>
      <c r="E14" s="31"/>
      <c r="F14" s="11"/>
      <c r="G14" s="30">
        <f>I14+K14+M14</f>
        <v>0</v>
      </c>
      <c r="H14" s="11"/>
      <c r="I14" s="30">
        <f>IF(AND(E14="Yes", I6&lt;&gt;"not enrolled"), (VLOOKUP(E14,Data1!A25:C26, 2, FALSE)), 0)</f>
        <v>0</v>
      </c>
      <c r="J14" s="11"/>
      <c r="K14" s="30">
        <v>0</v>
      </c>
      <c r="L14" s="30"/>
      <c r="M14" s="30">
        <f>IF(AND(E14="Yes", M6&lt;&gt;"not enrolled"), (VLOOKUP(E14,Data1!A25:C26, 2, FALSE)), 0)</f>
        <v>0</v>
      </c>
      <c r="N14" s="11"/>
    </row>
    <row r="15" spans="2:14" ht="21.75" customHeight="1" x14ac:dyDescent="0.25">
      <c r="B15" s="80" t="s">
        <v>64</v>
      </c>
      <c r="C15" s="80"/>
      <c r="D15" s="80"/>
      <c r="E15" s="60"/>
      <c r="F15" s="7"/>
      <c r="G15" s="32">
        <f>I15+K15+M15</f>
        <v>0</v>
      </c>
      <c r="H15" s="7"/>
      <c r="I15" s="52">
        <f>IF(AND(I6&lt;&gt;"select", I6&lt;&gt;"not enrolled",I6&lt;&gt;"4 credits",I6&lt;&gt;"5 credits",I6&lt;&gt;"6 credits",I6&lt;&gt;"7 credits"), 258, 0)</f>
        <v>0</v>
      </c>
      <c r="J15" s="7"/>
      <c r="K15" s="52">
        <f>IF(AND(K6&lt;&gt;"select", K6&lt;&gt;"not enrolled",K6&lt;&gt;"4 credits",K6&lt;&gt;"5 credits",K6&lt;&gt;"6 credits",K6&lt;&gt;"7 credits"), 258, 0)</f>
        <v>0</v>
      </c>
      <c r="L15" s="32"/>
      <c r="M15" s="52">
        <f>IF(AND(M6&lt;&gt;"select", M6&lt;&gt;"not enrolled",M6&lt;&gt;"4 credits",M6&lt;&gt;"5 credits",M6&lt;&gt;"6 credits",M6&lt;&gt;"7 credits"), 258, 0)</f>
        <v>0</v>
      </c>
      <c r="N15" s="7"/>
    </row>
    <row r="16" spans="2:14" ht="21.75" customHeight="1" x14ac:dyDescent="0.25">
      <c r="C16" s="8" t="s">
        <v>6</v>
      </c>
      <c r="G16" s="9">
        <f>SUM(G10, G12:G15)</f>
        <v>0</v>
      </c>
      <c r="I16" s="9">
        <f>SUM(I10,I12:I15)</f>
        <v>0</v>
      </c>
      <c r="K16" s="9">
        <f>SUM(K10,K12:K15)</f>
        <v>0</v>
      </c>
      <c r="L16" s="9"/>
      <c r="M16" s="9">
        <f>SUM(M10,M12:M15)</f>
        <v>0</v>
      </c>
    </row>
    <row r="17" spans="2:15" ht="24" customHeight="1" x14ac:dyDescent="0.25"/>
    <row r="18" spans="2:15" ht="15.75" thickBot="1" x14ac:dyDescent="0.3">
      <c r="B18" s="1" t="s">
        <v>11</v>
      </c>
      <c r="C18" s="2"/>
      <c r="D18" s="2"/>
      <c r="E18" s="2"/>
      <c r="F18" s="2"/>
      <c r="G18" s="4" t="s">
        <v>3</v>
      </c>
      <c r="H18" s="3"/>
      <c r="I18" s="4" t="s">
        <v>95</v>
      </c>
      <c r="J18" s="3"/>
      <c r="K18" s="4" t="s">
        <v>96</v>
      </c>
      <c r="L18" s="4"/>
      <c r="M18" s="4" t="s">
        <v>97</v>
      </c>
      <c r="N18" s="2"/>
    </row>
    <row r="19" spans="2:15" ht="21.75" customHeight="1" x14ac:dyDescent="0.25">
      <c r="B19" t="s">
        <v>16</v>
      </c>
      <c r="G19" s="16"/>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 K6&lt;&gt;"not enrolled", M6&lt;&gt;"not enrolled")), (G19/3), IF((AND(I6="not enrolled", K6&lt;&gt;"not enrolled", M6&lt;&gt;"not enrolled")), (G19/2), IF((AND(I6="not enrolled", K6="not enrolled", M6&lt;&gt;"not enrolled")), (G19), 0)))</f>
        <v>0</v>
      </c>
    </row>
    <row r="20" spans="2:15" ht="21.75" customHeight="1" x14ac:dyDescent="0.25">
      <c r="B20" s="11" t="s">
        <v>8</v>
      </c>
      <c r="C20" s="11"/>
      <c r="D20" s="11"/>
      <c r="E20" s="11"/>
      <c r="F20" s="11"/>
      <c r="G20" s="17"/>
      <c r="H20" s="11"/>
      <c r="I20" s="12">
        <f>IF((AND(I6&lt;&gt;"not enrolled", K6&lt;&gt;"not enrolled", M6&lt;&gt;"not enrolled")), (G20/3), IF((AND(I6&lt;&gt;"not enrolled", K6&lt;&gt;"not enrolled", M6="not enrolled")), (G20/2), IF((AND(I6&lt;&gt;"not enrolled", K6="not enrolled", M6="not enrolled")), (G20/1), 0)))</f>
        <v>0</v>
      </c>
      <c r="J20" s="11"/>
      <c r="K20" s="12">
        <f>IF((AND(I6&lt;&gt;"not enrolled", K6&lt;&gt;"not enrolled", M6&lt;&gt;"not enrolled")), (G20/3), IF((AND(I6&lt;&gt;"not enrolled", K6&lt;&gt;"not enrolled", M6="not enrolled")), (G20/2), IF((AND(I6="not enrolled", K6&lt;&gt;"not enrolled", M6&lt;&gt;"not enrolled")), (G20/2), 0)))</f>
        <v>0</v>
      </c>
      <c r="L20" s="12"/>
      <c r="M20" s="12">
        <f>IF((AND(I6&lt;&gt;"not enrolled", K6&lt;&gt;"not enrolled", M6&lt;&gt;"not enrolled")), (G20/3), IF((AND(I6="not enrolled", K6&lt;&gt;"not enrolled", M6&lt;&gt;"not enrolled")), (G20/2), IF((AND(I6="not enrolled", K6="not enrolled", M6&lt;&gt;"not enrolled")), (G20), 0)))</f>
        <v>0</v>
      </c>
      <c r="N20" s="11"/>
    </row>
    <row r="21" spans="2:15" ht="21.75" customHeight="1" x14ac:dyDescent="0.25">
      <c r="B21" t="s">
        <v>65</v>
      </c>
      <c r="E21" s="18"/>
      <c r="G21" s="5">
        <f>SUM(I21,K21,M21)</f>
        <v>0</v>
      </c>
      <c r="I21" s="5">
        <f>IF((AND(I6&lt;&gt;"not enrolled", K6&lt;&gt;"not enrolled", M6&lt;&gt;"not enrolled")), ROUND(((E21-(E21*0.01057))/3),0), IF((AND(I6&lt;&gt;"not enrolled", K6&lt;&gt;"not enrolled", M6="not enrolled")), ROUND(((E21-(E21*0.01057))/2),0), IF((AND(I6&lt;&gt;"not enrolled", K6="not enrolled", M6="not enrolled")), ROUND(((E21-(E21*0.01057))/1),0), 0)))</f>
        <v>0</v>
      </c>
      <c r="K21" s="5">
        <f>IF((AND(I6&lt;&gt;"not enrolled", K6&lt;&gt;"not enrolled", M6&lt;&gt;"not enrolled")), ROUND(((E21-(E21*0.01057))/3),0), IF((AND(I6&lt;&gt;"not enrolled", K6&lt;&gt;"not enrolled", M6="not enrolled")), ROUND(((E21-(E21*0.01057))/2),0), IF((AND(I6="not enrolled", K6&lt;&gt;"not enrolled", M6&lt;&gt;"not enrolled")), ROUND(((E21-(E21*0.01057))/2),0), 0)))</f>
        <v>0</v>
      </c>
      <c r="M21" s="5">
        <f>IF((AND(I6&lt;&gt;"not enrolled", K6&lt;&gt;"not enrolled", M6&lt;&gt;"not enrolled")), ROUND(((E21-(E21*0.01057))/3),0), IF((AND(I6="not enrolled", K6&lt;&gt;"not enrolled", M6&lt;&gt;"not enrolled")), ROUND(((E21-(E21*0.01057))/2),0), IF((AND(I6="not enrolled", K6="not enrolled", M6&lt;&gt;"not enrolled")), ROUND(((E21-(E21*0.01057))/1),0), 0)))</f>
        <v>0</v>
      </c>
    </row>
    <row r="22" spans="2:15" ht="21.75" customHeight="1" x14ac:dyDescent="0.25">
      <c r="B22" s="11" t="s">
        <v>66</v>
      </c>
      <c r="C22" s="11"/>
      <c r="D22" s="11"/>
      <c r="E22" s="18"/>
      <c r="F22" s="11"/>
      <c r="G22" s="12">
        <f>SUM(I22,K22,M22)</f>
        <v>0</v>
      </c>
      <c r="H22" s="11"/>
      <c r="I22" s="12">
        <f>IF((AND(I6&lt;&gt;"not enrolled", K6&lt;&gt;"not enrolled", M6&lt;&gt;"not enrolled")), ROUND(((E22-(E22*0.04228))/3),0), IF((AND(I6&lt;&gt;"not enrolled", K6&lt;&gt;"not enrolled", M6="not enrolled")), ROUND(((E22-(E22*0.04228))/2),0), IF((AND(I6&lt;&gt;"not enrolled", K6="not enrolled", M6="not enrolled")), ROUND(((E22-(E22*0.04228))/1),0), 0)))</f>
        <v>0</v>
      </c>
      <c r="J22" s="11"/>
      <c r="K22" s="12">
        <f>IF((AND(I6&lt;&gt;"not enrolled", K6&lt;&gt;"not enrolled", M6&lt;&gt;"not enrolled")), ROUND(((E22-(E22*0.04228))/3),0), IF((AND(I6&lt;&gt;"not enrolled", K6&lt;&gt;"not enrolled", M6="not enrolled")), ROUND(((E22-(E22*0.04228))/2),0), IF((AND(I6="not enrolled", K6&lt;&gt;"not enrolled", M6&lt;&gt;"not enrolled")), ROUND(((E22-(E22*0.04228))/2),0), 0)))</f>
        <v>0</v>
      </c>
      <c r="L22" s="12"/>
      <c r="M22" s="12">
        <f>IF((AND(I6&lt;&gt;"not enrolled", K6&lt;&gt;"not enrolled", M6&lt;&gt;"not enrolled")), ROUND(((E22-(E22*0.04228))/3),0), IF((AND(I6="not enrolled", K6&lt;&gt;"not enrolled", M6&lt;&gt;"not enrolled")), ROUND(((E22-(E22*0.04228))/2),0), IF((AND(I6="not enrolled", K6="not enrolled", M6&lt;&gt;"not enrolled")), ROUND(((E22-(E22*0.04228))/1),0), 0)))</f>
        <v>0</v>
      </c>
      <c r="N22" s="11"/>
    </row>
    <row r="23" spans="2:15" ht="21.75" customHeight="1" x14ac:dyDescent="0.25">
      <c r="B23" s="71" t="s">
        <v>22</v>
      </c>
      <c r="C23" s="71"/>
      <c r="D23" s="71"/>
      <c r="E23" s="71"/>
      <c r="G23" s="17"/>
      <c r="I23" s="5">
        <f>IF((AND(I6&lt;&gt;"not enrolled", K6&lt;&gt;"not enrolled", M6&lt;&gt;"not enrolled")), (G23/3), IF((AND(I6&lt;&gt;"not enrolled", K6&lt;&gt;"not enrolled", M6="not enrolled")), (G23/2), IF((AND(I6&lt;&gt;"not enrolled", K6="not enrolled", M6="not enrolled")), (G23/1), 0)))</f>
        <v>0</v>
      </c>
      <c r="K23" s="5">
        <f>IF((AND(I6&lt;&gt;"not enrolled", K6&lt;&gt;"not enrolled", M6&lt;&gt;"not enrolled")), (G23/3), IF((AND(I6&lt;&gt;"not enrolled", K6&lt;&gt;"not enrolled", M6="not enrolled")), (G23/2), IF((AND(I6="not enrolled", K6&lt;&gt;"not enrolled", M6&lt;&gt;"not enrolled")), (G23/2), 0)))</f>
        <v>0</v>
      </c>
      <c r="M23" s="5">
        <f>IF((AND(I6&lt;&gt;"not enrolled", K6&lt;&gt;"not enrolled", M6&lt;&gt;"not enrolled")), (G23/3), IF((AND(I6="not enrolled", K6&lt;&gt;"not enrolled", M6&lt;&gt;"not enrolled")), (G23/2), IF((AND(I6="not enrolled", K6="not enrolled", M6&lt;&gt;"not enrolled")), (G23), 0)))</f>
        <v>0</v>
      </c>
    </row>
    <row r="24" spans="2:15" ht="21.75" customHeight="1" x14ac:dyDescent="0.25">
      <c r="B24" s="77" t="s">
        <v>23</v>
      </c>
      <c r="C24" s="77"/>
      <c r="D24" s="77"/>
      <c r="E24" s="77"/>
      <c r="F24" s="77"/>
      <c r="G24" s="28">
        <f>I24+K24+M24</f>
        <v>0</v>
      </c>
      <c r="H24" s="27"/>
      <c r="I24" s="19"/>
      <c r="J24" s="27"/>
      <c r="K24" s="19"/>
      <c r="L24" s="33"/>
      <c r="M24" s="24"/>
      <c r="N24" s="27"/>
    </row>
    <row r="25" spans="2:15" ht="21.75" customHeight="1" x14ac:dyDescent="0.25">
      <c r="C25" s="8" t="s">
        <v>10</v>
      </c>
      <c r="G25" s="5">
        <f>SUM(G19:G24)</f>
        <v>0</v>
      </c>
      <c r="I25" s="5">
        <f>SUM(I19:I24)</f>
        <v>0</v>
      </c>
      <c r="K25" s="5">
        <f>SUM(K19:K23,K24)</f>
        <v>0</v>
      </c>
      <c r="M25" s="5">
        <f>SUM(M19:M23,M24)</f>
        <v>0</v>
      </c>
    </row>
    <row r="26" spans="2:15" ht="15.75" thickBot="1" x14ac:dyDescent="0.3"/>
    <row r="27" spans="2:15" ht="21.75" customHeight="1" thickTop="1" thickBot="1" x14ac:dyDescent="0.35">
      <c r="B27" s="15" t="s">
        <v>12</v>
      </c>
      <c r="C27" s="14"/>
      <c r="D27" s="14"/>
      <c r="E27" s="14"/>
      <c r="F27" s="14"/>
      <c r="G27" s="25">
        <f>G16-G25</f>
        <v>0</v>
      </c>
      <c r="H27" s="26"/>
      <c r="I27" s="25">
        <f>I16-I25</f>
        <v>0</v>
      </c>
      <c r="J27" s="26"/>
      <c r="K27" s="25">
        <f>K16-K25</f>
        <v>0</v>
      </c>
      <c r="L27" s="25"/>
      <c r="M27" s="25">
        <f>M16-M25</f>
        <v>0</v>
      </c>
      <c r="N27" s="14"/>
    </row>
    <row r="28" spans="2:15" ht="15.75" thickTop="1" x14ac:dyDescent="0.25"/>
    <row r="29" spans="2:15" x14ac:dyDescent="0.25">
      <c r="B29" s="8" t="s">
        <v>13</v>
      </c>
    </row>
    <row r="30" spans="2:15" ht="21.75" customHeight="1" x14ac:dyDescent="0.25">
      <c r="B30" s="74" t="s">
        <v>122</v>
      </c>
      <c r="C30" s="72"/>
      <c r="D30" s="72"/>
      <c r="E30" s="72"/>
      <c r="F30" s="72"/>
      <c r="G30" s="72"/>
      <c r="H30" s="72"/>
      <c r="I30" s="72"/>
      <c r="J30" s="72"/>
      <c r="K30" s="72"/>
      <c r="L30" s="72"/>
      <c r="M30" s="72"/>
      <c r="N30" s="72"/>
      <c r="O30" s="72"/>
    </row>
    <row r="31" spans="2:15" ht="17.25" customHeight="1" x14ac:dyDescent="0.25">
      <c r="B31" s="71" t="s">
        <v>109</v>
      </c>
      <c r="C31" s="71"/>
      <c r="D31" s="71"/>
      <c r="E31" s="71"/>
      <c r="F31" s="71"/>
      <c r="G31" s="71"/>
      <c r="H31" s="71"/>
      <c r="I31" s="71"/>
      <c r="J31" s="71"/>
      <c r="K31" s="71"/>
      <c r="L31" s="71"/>
      <c r="M31" s="71"/>
      <c r="N31" s="71"/>
    </row>
    <row r="32" spans="2:15" ht="31.5" customHeight="1" x14ac:dyDescent="0.25">
      <c r="B32" s="72" t="s">
        <v>123</v>
      </c>
      <c r="C32" s="72"/>
      <c r="D32" s="72"/>
      <c r="E32" s="72"/>
      <c r="F32" s="72"/>
      <c r="G32" s="72"/>
      <c r="H32" s="72"/>
      <c r="I32" s="72"/>
      <c r="J32" s="72"/>
      <c r="K32" s="72"/>
      <c r="L32" s="72"/>
      <c r="M32" s="72"/>
      <c r="N32" s="72"/>
    </row>
    <row r="33" spans="2:14" ht="33.6" customHeight="1" x14ac:dyDescent="0.25">
      <c r="B33" s="72" t="s">
        <v>74</v>
      </c>
      <c r="C33" s="72"/>
      <c r="D33" s="72"/>
      <c r="E33" s="72"/>
      <c r="F33" s="72"/>
      <c r="G33" s="72"/>
      <c r="H33" s="72"/>
      <c r="I33" s="72"/>
      <c r="J33" s="72"/>
      <c r="K33" s="72"/>
      <c r="L33" s="72"/>
      <c r="M33" s="72"/>
      <c r="N33" s="72"/>
    </row>
    <row r="34" spans="2:14" ht="47.45" customHeight="1" x14ac:dyDescent="0.25">
      <c r="B34" s="72" t="s">
        <v>124</v>
      </c>
      <c r="C34" s="72"/>
      <c r="D34" s="72"/>
      <c r="E34" s="72"/>
      <c r="F34" s="72"/>
      <c r="G34" s="72"/>
      <c r="H34" s="72"/>
      <c r="I34" s="72"/>
      <c r="J34" s="72"/>
      <c r="K34" s="72"/>
      <c r="L34" s="72"/>
      <c r="M34" s="72"/>
      <c r="N34" s="72"/>
    </row>
    <row r="35" spans="2:14" ht="21.75" customHeight="1" x14ac:dyDescent="0.25"/>
    <row r="37" spans="2:14" x14ac:dyDescent="0.25">
      <c r="B37" s="67" t="s">
        <v>14</v>
      </c>
      <c r="C37" s="67"/>
      <c r="D37" s="67"/>
      <c r="E37" s="67"/>
      <c r="F37" s="67"/>
      <c r="G37" s="67"/>
      <c r="H37" s="67"/>
      <c r="I37" s="67"/>
      <c r="J37" s="67"/>
      <c r="K37" s="67"/>
      <c r="L37" s="67"/>
      <c r="M37" s="67"/>
      <c r="N37" s="67"/>
    </row>
  </sheetData>
  <sheetProtection algorithmName="SHA-512" hashValue="5sjfVAyDiwRRdJJed52cT7jmZ8oKXbW/SYUWFSqvK6gT/1aiQbSfTvXu2OkMI4y/vV3wGWMq3YLMI3TCZHH8SQ==" saltValue="O9xzV03IU5Q6obwlKFpEiA==" spinCount="100000" sheet="1" selectLockedCells="1"/>
  <mergeCells count="13">
    <mergeCell ref="B31:N31"/>
    <mergeCell ref="B34:N34"/>
    <mergeCell ref="B37:N37"/>
    <mergeCell ref="F2:N2"/>
    <mergeCell ref="B30:O30"/>
    <mergeCell ref="B4:N4"/>
    <mergeCell ref="C10:D10"/>
    <mergeCell ref="B23:E23"/>
    <mergeCell ref="B24:F24"/>
    <mergeCell ref="B14:D14"/>
    <mergeCell ref="B15:D15"/>
    <mergeCell ref="B32:N32"/>
    <mergeCell ref="B33:N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Data1!$A$2:$A$22</xm:f>
          </x14:formula1>
          <xm:sqref>M6 I6 K6</xm:sqref>
        </x14:dataValidation>
        <x14:dataValidation type="list" allowBlank="1" showInputMessage="1" showErrorMessage="1" xr:uid="{00000000-0002-0000-0100-000001000000}">
          <x14:formula1>
            <xm:f>Data1!$A$25:$A$26</xm:f>
          </x14:formula1>
          <xm:sqref>E14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81" t="s">
        <v>113</v>
      </c>
      <c r="I2" s="82"/>
      <c r="J2" s="82"/>
      <c r="K2" s="82"/>
      <c r="L2" s="82"/>
      <c r="M2" s="82"/>
      <c r="N2" s="82"/>
      <c r="O2" s="82"/>
    </row>
    <row r="3" spans="2:15" ht="8.25" customHeight="1" x14ac:dyDescent="0.25">
      <c r="B3" s="20"/>
      <c r="C3" s="20"/>
      <c r="D3" s="20"/>
      <c r="E3" s="20"/>
      <c r="F3" s="20"/>
      <c r="G3" s="20"/>
      <c r="H3" s="21"/>
      <c r="I3" s="22"/>
      <c r="J3" s="22"/>
      <c r="K3" s="22"/>
      <c r="L3" s="22"/>
      <c r="M3" s="22"/>
      <c r="N3" s="22"/>
      <c r="O3" s="22"/>
    </row>
    <row r="4" spans="2:15" ht="27.75" customHeight="1" x14ac:dyDescent="0.25">
      <c r="B4" s="47"/>
      <c r="C4" s="53" t="s">
        <v>57</v>
      </c>
      <c r="D4" s="47"/>
      <c r="E4" s="47"/>
      <c r="F4" s="47"/>
      <c r="G4" s="47"/>
      <c r="H4" s="47"/>
      <c r="I4" s="47"/>
      <c r="J4" s="47"/>
      <c r="K4" s="47"/>
      <c r="L4" s="47"/>
      <c r="M4" s="47"/>
      <c r="N4" s="47"/>
      <c r="O4" s="47"/>
    </row>
    <row r="5" spans="2:15" ht="19.5" customHeight="1" x14ac:dyDescent="0.25">
      <c r="J5" s="46" t="s">
        <v>91</v>
      </c>
      <c r="L5" s="46" t="s">
        <v>92</v>
      </c>
      <c r="N5" s="46" t="s">
        <v>93</v>
      </c>
    </row>
    <row r="6" spans="2:15" ht="18" customHeight="1" x14ac:dyDescent="0.3">
      <c r="D6" s="6" t="s">
        <v>15</v>
      </c>
      <c r="E6" s="29"/>
      <c r="F6" s="29"/>
      <c r="G6" s="29"/>
      <c r="H6" s="29"/>
      <c r="I6" s="29"/>
      <c r="J6" s="45" t="s">
        <v>63</v>
      </c>
      <c r="L6" s="45" t="s">
        <v>63</v>
      </c>
      <c r="M6" s="23"/>
      <c r="N6" s="45" t="s">
        <v>63</v>
      </c>
      <c r="O6" s="29"/>
    </row>
    <row r="7" spans="2:15" ht="6" customHeight="1" x14ac:dyDescent="0.25"/>
    <row r="8" spans="2:15" ht="15.75" thickBot="1" x14ac:dyDescent="0.3">
      <c r="B8" s="1" t="s">
        <v>7</v>
      </c>
      <c r="C8" s="1"/>
      <c r="D8" s="2"/>
      <c r="E8" s="2"/>
      <c r="F8" s="2"/>
      <c r="G8" s="2"/>
      <c r="H8" s="4" t="s">
        <v>3</v>
      </c>
      <c r="I8" s="3"/>
      <c r="J8" s="4" t="s">
        <v>95</v>
      </c>
      <c r="K8" s="3"/>
      <c r="L8" s="4" t="s">
        <v>96</v>
      </c>
      <c r="M8" s="4"/>
      <c r="N8" s="4" t="s">
        <v>97</v>
      </c>
      <c r="O8" s="2"/>
    </row>
    <row r="9" spans="2:15" ht="9" customHeight="1" x14ac:dyDescent="0.25"/>
    <row r="10" spans="2:15" ht="21.75" customHeight="1" x14ac:dyDescent="0.25">
      <c r="B10" s="10" t="s">
        <v>1</v>
      </c>
      <c r="C10" s="10"/>
      <c r="D10" s="76"/>
      <c r="E10" s="76"/>
      <c r="F10" s="11"/>
      <c r="G10" s="11"/>
      <c r="H10" s="12">
        <f>J10+L10+N10</f>
        <v>0</v>
      </c>
      <c r="I10" s="11"/>
      <c r="J10" s="12">
        <f>VLOOKUP(J6, Data1!K2:M22, 2, FALSE)</f>
        <v>0</v>
      </c>
      <c r="K10" s="11"/>
      <c r="L10" s="12">
        <f>VLOOKUP(L6,Data1!K2:N22,2,FALSE)</f>
        <v>0</v>
      </c>
      <c r="M10" s="12"/>
      <c r="N10" s="12">
        <f>VLOOKUP(N6,Data1!K2:N22,2,FALSE)</f>
        <v>0</v>
      </c>
      <c r="O10" s="11"/>
    </row>
    <row r="11" spans="2:15" ht="21.75" customHeight="1" x14ac:dyDescent="0.25">
      <c r="B11" s="35" t="s">
        <v>0</v>
      </c>
      <c r="C11" s="35"/>
    </row>
    <row r="12" spans="2:15" ht="21.75" customHeight="1" x14ac:dyDescent="0.25">
      <c r="B12" s="13" t="s">
        <v>2</v>
      </c>
      <c r="C12" s="13"/>
      <c r="D12" s="11"/>
      <c r="E12" s="11"/>
      <c r="F12" s="11"/>
      <c r="G12" s="11"/>
      <c r="H12" s="12">
        <f>J12+L12+N12</f>
        <v>0</v>
      </c>
      <c r="I12" s="11"/>
      <c r="J12" s="12">
        <f>VLOOKUP(J6,Data1!K2:N22,3,FALSE)</f>
        <v>0</v>
      </c>
      <c r="K12" s="11"/>
      <c r="L12" s="12">
        <f>VLOOKUP(L6,Data1!K2:N22,3,FALSE)</f>
        <v>0</v>
      </c>
      <c r="M12" s="12"/>
      <c r="N12" s="12">
        <f>VLOOKUP(N6,Data1!K2:N22,3,FALSE)</f>
        <v>0</v>
      </c>
      <c r="O12" s="11"/>
    </row>
    <row r="13" spans="2:15" ht="21.75" customHeight="1" x14ac:dyDescent="0.25">
      <c r="B13" s="39" t="s">
        <v>17</v>
      </c>
      <c r="C13" s="39"/>
      <c r="H13" s="5">
        <f>J13+L13+N13</f>
        <v>0</v>
      </c>
      <c r="J13" s="5">
        <f>VLOOKUP(J6,Data1!K2:N22,4,FALSE)</f>
        <v>0</v>
      </c>
      <c r="L13" s="5">
        <f>VLOOKUP(L6,Data1!K2:N22,4,FALSE)</f>
        <v>0</v>
      </c>
      <c r="N13" s="5">
        <f>VLOOKUP(N6,Data1!K2:N22,4,FALSE)</f>
        <v>0</v>
      </c>
    </row>
    <row r="14" spans="2:15" ht="21.75" customHeight="1" x14ac:dyDescent="0.25">
      <c r="B14" s="78" t="s">
        <v>56</v>
      </c>
      <c r="C14" s="78"/>
      <c r="D14" s="78"/>
      <c r="E14" s="79"/>
      <c r="F14" s="31"/>
      <c r="G14" s="11"/>
      <c r="H14" s="30">
        <f>J14+L14+N14</f>
        <v>0</v>
      </c>
      <c r="I14" s="11"/>
      <c r="J14" s="30">
        <f>IF(AND(F14="Yes", J6&lt;&gt;"not enrolled"), (VLOOKUP(F14, Data1!A25:C26, 2, FALSE)), 0)</f>
        <v>0</v>
      </c>
      <c r="K14" s="11"/>
      <c r="L14" s="30">
        <v>0</v>
      </c>
      <c r="M14" s="30"/>
      <c r="N14" s="30">
        <f>IF(AND(F14="Yes", N6&lt;&gt;"not enrolled"), (VLOOKUP(F14, Data1!A25:C26, 2, FALSE)), 0)</f>
        <v>0</v>
      </c>
      <c r="O14" s="11"/>
    </row>
    <row r="15" spans="2:15" ht="21.75" customHeight="1" x14ac:dyDescent="0.25">
      <c r="B15" s="80" t="s">
        <v>64</v>
      </c>
      <c r="C15" s="80"/>
      <c r="D15" s="80"/>
      <c r="E15" s="80"/>
      <c r="F15" s="60"/>
      <c r="G15" s="7"/>
      <c r="H15" s="32">
        <f>J15+L15+N15</f>
        <v>0</v>
      </c>
      <c r="I15" s="7"/>
      <c r="J15" s="52">
        <f>IF(AND(J6&lt;&gt;"select", J6&lt;&gt;"not enrolled",J6&lt;&gt;"4 credits",J6&lt;&gt;"5 credits",J6&lt;&gt;"6 credits",J6&lt;&gt;"7 credits"), 258, 0)</f>
        <v>0</v>
      </c>
      <c r="K15" s="7"/>
      <c r="L15" s="52">
        <f>IF(AND(L6&lt;&gt;"select", L6&lt;&gt;"not enrolled",L6&lt;&gt;"4 credits",L6&lt;&gt;"5 credits",L6&lt;&gt;"6 credits",L6&lt;&gt;"7 credits"), 258, 0)</f>
        <v>0</v>
      </c>
      <c r="M15" s="32"/>
      <c r="N15" s="52">
        <f>IF(AND(N6&lt;&gt;"select", N6&lt;&gt;"not enrolled",N6&lt;&gt;"4 credits",N6&lt;&gt;"5 credits",N6&lt;&gt;"6 credits",N6&lt;&gt;"7 credits"), 258, 0)</f>
        <v>0</v>
      </c>
      <c r="O15" s="7"/>
    </row>
    <row r="16" spans="2:15" ht="21.75" customHeight="1" x14ac:dyDescent="0.25">
      <c r="D16" s="8" t="s">
        <v>6</v>
      </c>
      <c r="H16" s="9">
        <f>SUM(H10, H12:H15)</f>
        <v>0</v>
      </c>
      <c r="J16" s="9">
        <f>SUM(J10,J12:J15)</f>
        <v>0</v>
      </c>
      <c r="L16" s="9">
        <f>SUM(L10,L12:L15)</f>
        <v>0</v>
      </c>
      <c r="M16" s="9"/>
      <c r="N16" s="9">
        <f>SUM(N10,N12:N15)</f>
        <v>0</v>
      </c>
    </row>
    <row r="17" spans="2:15" ht="24" customHeight="1" x14ac:dyDescent="0.25"/>
    <row r="18" spans="2:15" ht="15.75" thickBot="1" x14ac:dyDescent="0.3">
      <c r="B18" s="1" t="s">
        <v>11</v>
      </c>
      <c r="C18" s="1"/>
      <c r="D18" s="2"/>
      <c r="E18" s="2"/>
      <c r="F18" s="2"/>
      <c r="G18" s="2"/>
      <c r="H18" s="4" t="s">
        <v>3</v>
      </c>
      <c r="I18" s="3"/>
      <c r="J18" s="4" t="s">
        <v>95</v>
      </c>
      <c r="K18" s="3"/>
      <c r="L18" s="4" t="s">
        <v>96</v>
      </c>
      <c r="M18" s="4"/>
      <c r="N18" s="4" t="s">
        <v>97</v>
      </c>
      <c r="O18" s="2"/>
    </row>
    <row r="19" spans="2:15" ht="21.75" customHeight="1" x14ac:dyDescent="0.2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15" ht="21.75" customHeight="1" x14ac:dyDescent="0.25">
      <c r="B21" t="s">
        <v>65</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1" t="s">
        <v>66</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row>
    <row r="23" spans="2:15" ht="21.75" customHeight="1" x14ac:dyDescent="0.25">
      <c r="B23" s="71" t="s">
        <v>22</v>
      </c>
      <c r="C23" s="71"/>
      <c r="D23" s="71"/>
      <c r="E23" s="71"/>
      <c r="F23" s="71"/>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7" t="s">
        <v>23</v>
      </c>
      <c r="C24" s="77"/>
      <c r="D24" s="77"/>
      <c r="E24" s="77"/>
      <c r="F24" s="77"/>
      <c r="G24" s="77"/>
      <c r="H24" s="28">
        <f>J24+L24+N24</f>
        <v>0</v>
      </c>
      <c r="I24" s="27"/>
      <c r="J24" s="19"/>
      <c r="K24" s="27"/>
      <c r="L24" s="19"/>
      <c r="M24" s="33"/>
      <c r="N24" s="52"/>
      <c r="O24" s="27"/>
    </row>
    <row r="25" spans="2:15" ht="21.75" customHeight="1" x14ac:dyDescent="0.25">
      <c r="D25" s="8" t="s">
        <v>10</v>
      </c>
      <c r="H25" s="5">
        <f>SUM(H19:H24)</f>
        <v>0</v>
      </c>
      <c r="J25" s="5">
        <f>SUM(J19:J24)</f>
        <v>0</v>
      </c>
      <c r="L25" s="5">
        <f>SUM(L19:L23,L24)</f>
        <v>0</v>
      </c>
      <c r="N25" s="5">
        <f>SUM(N19:N23,N24)</f>
        <v>0</v>
      </c>
    </row>
    <row r="26" spans="2:15" ht="15.75" thickBot="1" x14ac:dyDescent="0.3"/>
    <row r="27" spans="2:15" ht="21.75" customHeight="1" thickTop="1" thickBot="1" x14ac:dyDescent="0.35">
      <c r="B27" s="15" t="s">
        <v>12</v>
      </c>
      <c r="C27" s="15"/>
      <c r="D27" s="14"/>
      <c r="E27" s="14"/>
      <c r="F27" s="14"/>
      <c r="G27" s="14"/>
      <c r="H27" s="25">
        <f>H16-H25</f>
        <v>0</v>
      </c>
      <c r="I27" s="26"/>
      <c r="J27" s="25">
        <f>J16-J25</f>
        <v>0</v>
      </c>
      <c r="K27" s="26"/>
      <c r="L27" s="25">
        <f>L16-L25</f>
        <v>0</v>
      </c>
      <c r="M27" s="25"/>
      <c r="N27" s="25">
        <f>N16-N25</f>
        <v>0</v>
      </c>
      <c r="O27" s="14"/>
    </row>
    <row r="28" spans="2:15" ht="15.75" thickTop="1" x14ac:dyDescent="0.25"/>
    <row r="29" spans="2:15" x14ac:dyDescent="0.25">
      <c r="B29" s="8" t="s">
        <v>13</v>
      </c>
      <c r="C29" s="8"/>
    </row>
    <row r="30" spans="2:15" ht="21.75" customHeight="1" x14ac:dyDescent="0.25">
      <c r="B30" s="51">
        <v>1</v>
      </c>
      <c r="C30" s="72" t="s">
        <v>114</v>
      </c>
      <c r="D30" s="72"/>
      <c r="E30" s="72"/>
      <c r="F30" s="72"/>
      <c r="G30" s="72"/>
      <c r="H30" s="72"/>
      <c r="I30" s="72"/>
      <c r="J30" s="72"/>
      <c r="K30" s="72"/>
      <c r="L30" s="72"/>
      <c r="M30" s="72"/>
      <c r="N30" s="72"/>
      <c r="O30" s="72"/>
    </row>
    <row r="31" spans="2:15" ht="18" customHeight="1" x14ac:dyDescent="0.25">
      <c r="B31" s="49">
        <v>2</v>
      </c>
      <c r="C31" t="s">
        <v>102</v>
      </c>
      <c r="H31"/>
      <c r="J31"/>
      <c r="L31"/>
      <c r="M31"/>
      <c r="N31"/>
    </row>
    <row r="32" spans="2:15" ht="31.5" customHeight="1" x14ac:dyDescent="0.25">
      <c r="B32" s="48">
        <v>3</v>
      </c>
      <c r="C32" s="72" t="s">
        <v>115</v>
      </c>
      <c r="D32" s="72"/>
      <c r="E32" s="72"/>
      <c r="F32" s="72"/>
      <c r="G32" s="72"/>
      <c r="H32" s="72"/>
      <c r="I32" s="72"/>
      <c r="J32" s="72"/>
      <c r="K32" s="72"/>
      <c r="L32" s="72"/>
      <c r="M32" s="72"/>
      <c r="N32" s="72"/>
      <c r="O32" s="72"/>
    </row>
    <row r="33" spans="2:15" ht="33" customHeight="1" x14ac:dyDescent="0.25">
      <c r="B33" s="48">
        <v>4</v>
      </c>
      <c r="C33" s="72" t="s">
        <v>67</v>
      </c>
      <c r="D33" s="72"/>
      <c r="E33" s="72"/>
      <c r="F33" s="72"/>
      <c r="G33" s="72"/>
      <c r="H33" s="72"/>
      <c r="I33" s="72"/>
      <c r="J33" s="72"/>
      <c r="K33" s="72"/>
      <c r="L33" s="72"/>
      <c r="M33" s="72"/>
      <c r="N33" s="72"/>
      <c r="O33" s="72"/>
    </row>
    <row r="34" spans="2:15" ht="65.25" customHeight="1" x14ac:dyDescent="0.25">
      <c r="B34" s="48">
        <v>5</v>
      </c>
      <c r="C34" s="72" t="s">
        <v>116</v>
      </c>
      <c r="D34" s="72"/>
      <c r="E34" s="72"/>
      <c r="F34" s="72"/>
      <c r="G34" s="72"/>
      <c r="H34" s="72"/>
      <c r="I34" s="72"/>
      <c r="J34" s="72"/>
      <c r="K34" s="72"/>
      <c r="L34" s="72"/>
      <c r="M34" s="72"/>
      <c r="N34" s="72"/>
      <c r="O34" s="72"/>
    </row>
    <row r="35" spans="2:15" ht="21.75" customHeight="1" x14ac:dyDescent="0.25"/>
    <row r="37" spans="2:15" x14ac:dyDescent="0.25">
      <c r="B37" s="67" t="s">
        <v>14</v>
      </c>
      <c r="C37" s="67"/>
      <c r="D37" s="67"/>
      <c r="E37" s="67"/>
      <c r="F37" s="67"/>
      <c r="G37" s="67"/>
      <c r="H37" s="67"/>
      <c r="I37" s="67"/>
      <c r="J37" s="67"/>
      <c r="K37" s="67"/>
      <c r="L37" s="67"/>
      <c r="M37" s="67"/>
      <c r="N37" s="67"/>
      <c r="O37" s="67"/>
    </row>
  </sheetData>
  <sheetProtection algorithmName="SHA-512" hashValue="5AWYoncMl9k+by+rWxxjgo/oN4t9x6sgzTE2mB5/KInkMXZ4oNvfuzWJQO5/SqkoO2UHnmQBQYFgOdR+29ezSQ==" saltValue="MQn/SutlFTHks5+1IUlGEg==" spinCount="100000" sheet="1" selectLockedCells="1"/>
  <mergeCells count="11">
    <mergeCell ref="H2:O2"/>
    <mergeCell ref="D10:E10"/>
    <mergeCell ref="B37:O37"/>
    <mergeCell ref="B14:E14"/>
    <mergeCell ref="B15:E15"/>
    <mergeCell ref="B23:F23"/>
    <mergeCell ref="B24:G24"/>
    <mergeCell ref="C34:O34"/>
    <mergeCell ref="C30:O30"/>
    <mergeCell ref="C32:O32"/>
    <mergeCell ref="C33:O33"/>
  </mergeCells>
  <hyperlinks>
    <hyperlink ref="B14" r:id="rId1" display="Will you enroll in DU's health insurance plan?" xr:uid="{00000000-0004-0000-0200-000000000000}"/>
    <hyperlink ref="B15" r:id="rId2" display="Will you use DU Health &amp; Counseling Services? " xr:uid="{00000000-0004-0000-02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Data1!$K$2:$K$22</xm:f>
          </x14:formula1>
          <xm:sqref>N6 J6 L6</xm:sqref>
        </x14:dataValidation>
        <x14:dataValidation type="list" allowBlank="1" showInputMessage="1" showErrorMessage="1" xr:uid="{00000000-0002-0000-0200-000002000000}">
          <x14:formula1>
            <xm:f>Data1!$A$25:$A$26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0"/>
  <sheetViews>
    <sheetView showGridLines="0" showRowColHeaders="0" showRuler="0" zoomScaleNormal="100" workbookViewId="0">
      <selection activeCell="F5" sqref="F5:H5"/>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3" t="s">
        <v>100</v>
      </c>
      <c r="G2" s="73"/>
      <c r="H2" s="73"/>
      <c r="I2" s="73"/>
      <c r="J2" s="73"/>
      <c r="K2" s="73"/>
      <c r="L2" s="73"/>
      <c r="M2" s="73"/>
      <c r="N2" s="73"/>
    </row>
    <row r="3" spans="2:14" ht="8.25" customHeight="1" x14ac:dyDescent="0.25">
      <c r="B3" s="20"/>
      <c r="C3" s="20"/>
      <c r="D3" s="20"/>
      <c r="E3" s="20"/>
      <c r="F3" s="20"/>
      <c r="G3" s="21"/>
      <c r="H3" s="22"/>
      <c r="I3" s="22"/>
      <c r="J3" s="22"/>
      <c r="K3" s="22"/>
      <c r="L3" s="22"/>
      <c r="M3" s="22"/>
      <c r="N3" s="22"/>
    </row>
    <row r="4" spans="2:14" ht="8.25" customHeight="1" x14ac:dyDescent="0.25">
      <c r="G4" s="58"/>
      <c r="H4" s="59"/>
      <c r="I4" s="59"/>
      <c r="J4" s="59"/>
      <c r="K4" s="59"/>
      <c r="L4" s="59"/>
      <c r="M4" s="59"/>
      <c r="N4" s="59"/>
    </row>
    <row r="5" spans="2:14" ht="21" x14ac:dyDescent="0.3">
      <c r="B5" s="6" t="s">
        <v>20</v>
      </c>
      <c r="D5" s="29"/>
      <c r="E5" s="29"/>
      <c r="F5" s="83" t="s">
        <v>101</v>
      </c>
      <c r="G5" s="84"/>
      <c r="H5" s="85"/>
      <c r="I5" s="59"/>
      <c r="J5" s="59"/>
      <c r="K5" s="59"/>
      <c r="L5" s="59"/>
      <c r="M5" s="59"/>
      <c r="N5" s="59"/>
    </row>
    <row r="6" spans="2:14" ht="8.25" customHeight="1" x14ac:dyDescent="0.25">
      <c r="G6" s="58"/>
      <c r="H6" s="59"/>
      <c r="I6" s="59"/>
      <c r="J6" s="59"/>
      <c r="K6" s="59"/>
      <c r="L6" s="59"/>
      <c r="M6" s="59"/>
      <c r="N6" s="59"/>
    </row>
    <row r="7" spans="2:14" ht="12" customHeight="1" x14ac:dyDescent="0.25">
      <c r="B7" s="75"/>
      <c r="C7" s="75"/>
      <c r="D7" s="75"/>
      <c r="E7" s="75"/>
      <c r="F7" s="75"/>
      <c r="G7" s="75"/>
      <c r="H7" s="75"/>
      <c r="I7" s="75"/>
      <c r="J7" s="75"/>
      <c r="K7" s="75"/>
      <c r="L7" s="75"/>
      <c r="M7" s="75"/>
      <c r="N7" s="75"/>
    </row>
    <row r="8" spans="2:14" ht="19.5" customHeight="1" x14ac:dyDescent="0.25">
      <c r="I8" s="46" t="s">
        <v>91</v>
      </c>
      <c r="K8" s="46" t="s">
        <v>92</v>
      </c>
      <c r="M8" s="46" t="s">
        <v>93</v>
      </c>
    </row>
    <row r="9" spans="2:14" ht="18" customHeight="1" x14ac:dyDescent="0.3">
      <c r="C9" s="6" t="s">
        <v>15</v>
      </c>
      <c r="D9" s="29"/>
      <c r="E9" s="29"/>
      <c r="F9" s="29"/>
      <c r="G9" s="29"/>
      <c r="H9" s="29"/>
      <c r="I9" s="45" t="s">
        <v>63</v>
      </c>
      <c r="K9" s="45" t="s">
        <v>63</v>
      </c>
      <c r="L9" s="23"/>
      <c r="M9" s="45" t="s">
        <v>63</v>
      </c>
      <c r="N9" s="29"/>
    </row>
    <row r="10" spans="2:14" ht="6" customHeight="1" x14ac:dyDescent="0.25"/>
    <row r="11" spans="2:14" ht="15.75" thickBot="1" x14ac:dyDescent="0.3">
      <c r="B11" s="1" t="s">
        <v>7</v>
      </c>
      <c r="C11" s="2"/>
      <c r="D11" s="2"/>
      <c r="E11" s="2"/>
      <c r="F11" s="2"/>
      <c r="G11" s="4" t="s">
        <v>3</v>
      </c>
      <c r="H11" s="3"/>
      <c r="I11" s="4" t="s">
        <v>95</v>
      </c>
      <c r="J11" s="3"/>
      <c r="K11" s="4" t="s">
        <v>96</v>
      </c>
      <c r="L11" s="4"/>
      <c r="M11" s="4" t="s">
        <v>97</v>
      </c>
      <c r="N11" s="2"/>
    </row>
    <row r="12" spans="2:14" ht="9" customHeight="1" x14ac:dyDescent="0.25"/>
    <row r="13" spans="2:14" ht="21.75" customHeight="1" x14ac:dyDescent="0.25">
      <c r="B13" s="10" t="s">
        <v>1</v>
      </c>
      <c r="C13" s="76"/>
      <c r="D13" s="76"/>
      <c r="E13" s="11"/>
      <c r="F13" s="11"/>
      <c r="G13" s="12">
        <f>I13+K13+M13</f>
        <v>0</v>
      </c>
      <c r="H13" s="11"/>
      <c r="I13" s="12">
        <f>IF((OR(F5="2026 Fall Quarter")), (VLOOKUP(I9,Data1!E25:F43, 2, FALSE)), IF((OR(F5="2025 Fall Quarter")), (VLOOKUP(I9, Data1!E25:G43, 3, FALSE)), 0))</f>
        <v>0</v>
      </c>
      <c r="J13" s="11"/>
      <c r="K13" s="12">
        <f>IF((OR(F5="2025 Fall Quarter")), (VLOOKUP(K9,Data1!E25:F43, 2, FALSE)), IF((OR(F5="2024 Fall Quarter")), (VLOOKUP(K9, Data1!E25:G43, 3, FALSE)), 0))</f>
        <v>0</v>
      </c>
      <c r="L13" s="12"/>
      <c r="M13" s="12">
        <f>IF((OR(F5="2025 Fall Quarter")), (VLOOKUP(M9,Data1!E25:F43, 2, FALSE)), IF((OR(F5="2024 Fall Quarter")), (VLOOKUP(M9, Data1!E25:G43, 3, FALSE)), 0))</f>
        <v>0</v>
      </c>
      <c r="N13" s="11"/>
    </row>
    <row r="14" spans="2:14" ht="21.75" customHeight="1" x14ac:dyDescent="0.25">
      <c r="B14" s="35" t="s">
        <v>0</v>
      </c>
    </row>
    <row r="15" spans="2:14" ht="21.75" customHeight="1" x14ac:dyDescent="0.25">
      <c r="B15" s="13" t="s">
        <v>2</v>
      </c>
      <c r="C15" s="11"/>
      <c r="D15" s="11"/>
      <c r="E15" s="11"/>
      <c r="F15" s="11"/>
      <c r="G15" s="12">
        <f>I15+K15+M15</f>
        <v>0</v>
      </c>
      <c r="H15" s="11"/>
      <c r="I15" s="12">
        <f>VLOOKUP(I9,Data1!E25:H43, 4, FALSE)</f>
        <v>0</v>
      </c>
      <c r="J15" s="11"/>
      <c r="K15" s="12">
        <f>VLOOKUP(K9, Data1!E25:H43, 4, FALSE)</f>
        <v>0</v>
      </c>
      <c r="L15" s="12"/>
      <c r="M15" s="12">
        <f>VLOOKUP(M9, Data1!E25:H43, 4, FALSE)</f>
        <v>0</v>
      </c>
      <c r="N15" s="11"/>
    </row>
    <row r="16" spans="2:14" ht="21.75" customHeight="1" x14ac:dyDescent="0.25">
      <c r="B16" s="39" t="s">
        <v>17</v>
      </c>
      <c r="G16" s="5">
        <f>I16+K16+M16</f>
        <v>0</v>
      </c>
      <c r="I16" s="5">
        <f>VLOOKUP(I9,Data1!E25:I43, 5, FALSE)</f>
        <v>0</v>
      </c>
      <c r="K16" s="5">
        <f>VLOOKUP(K9, Data1!E25:I43, 5, FALSE)</f>
        <v>0</v>
      </c>
      <c r="M16" s="5">
        <f>VLOOKUP(M9, Data1!A2:D22, 4, FALSE)</f>
        <v>0</v>
      </c>
    </row>
    <row r="17" spans="2:14" ht="21.75" customHeight="1" x14ac:dyDescent="0.25">
      <c r="B17" s="78" t="s">
        <v>56</v>
      </c>
      <c r="C17" s="78"/>
      <c r="D17" s="79"/>
      <c r="E17" s="31"/>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14" ht="21.75" customHeight="1" x14ac:dyDescent="0.25">
      <c r="B18" s="80" t="s">
        <v>64</v>
      </c>
      <c r="C18" s="80"/>
      <c r="D18" s="80"/>
      <c r="E18" s="60"/>
      <c r="F18" s="7"/>
      <c r="G18" s="32">
        <f>I18+K18+M18</f>
        <v>0</v>
      </c>
      <c r="H18" s="7"/>
      <c r="I18" s="62">
        <f>IF(AND(I9&lt;&gt;"select", I9&lt;&gt;"not enrolled",I9&lt;&gt;"4 credits",I9&lt;&gt;"5 credits",I9&lt;&gt;"6 credits",I9&lt;&gt;"7 credits"), 258, 0)</f>
        <v>0</v>
      </c>
      <c r="J18" s="7"/>
      <c r="K18" s="62">
        <f>IF(AND(K9&lt;&gt;"select", K9&lt;&gt;"not enrolled",K9&lt;&gt;"4 credits",K9&lt;&gt;"5 credits",K9&lt;&gt;"6 credits",K9&lt;&gt;"7 credits"), 258, 0)</f>
        <v>0</v>
      </c>
      <c r="L18" s="32"/>
      <c r="M18" s="62">
        <f>IF(AND(M9&lt;&gt;"select", M9&lt;&gt;"not enrolled",M9&lt;&gt;"4 credits",M9&lt;&gt;"5 credits",M9&lt;&gt;"6 credits",M9&lt;&gt;"7 credits"), 258, 0)</f>
        <v>0</v>
      </c>
      <c r="N18" s="7"/>
    </row>
    <row r="19" spans="2:14" ht="21.75" customHeight="1" x14ac:dyDescent="0.25">
      <c r="C19" s="8" t="s">
        <v>6</v>
      </c>
      <c r="G19" s="9">
        <f>SUM(G13, G15:G18)</f>
        <v>0</v>
      </c>
      <c r="I19" s="9">
        <f>SUM(I13,I15:I18)</f>
        <v>0</v>
      </c>
      <c r="K19" s="9">
        <f>SUM(K13,K15:K18)</f>
        <v>0</v>
      </c>
      <c r="L19" s="9"/>
      <c r="M19" s="9">
        <f>SUM(M13,M15:M18)</f>
        <v>0</v>
      </c>
    </row>
    <row r="20" spans="2:14" ht="24" customHeight="1" x14ac:dyDescent="0.25"/>
    <row r="21" spans="2:14" ht="15.75" thickBot="1" x14ac:dyDescent="0.3">
      <c r="B21" s="1" t="s">
        <v>11</v>
      </c>
      <c r="C21" s="2"/>
      <c r="D21" s="2"/>
      <c r="E21" s="2"/>
      <c r="F21" s="2"/>
      <c r="G21" s="4" t="s">
        <v>3</v>
      </c>
      <c r="H21" s="3"/>
      <c r="I21" s="4" t="s">
        <v>95</v>
      </c>
      <c r="J21" s="3"/>
      <c r="K21" s="4" t="s">
        <v>96</v>
      </c>
      <c r="L21" s="4"/>
      <c r="M21" s="4" t="s">
        <v>97</v>
      </c>
      <c r="N21" s="2"/>
    </row>
    <row r="22" spans="2:14" ht="21.75" customHeight="1" x14ac:dyDescent="0.2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14" ht="21.75" customHeight="1" x14ac:dyDescent="0.2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14" ht="21.75" customHeight="1" x14ac:dyDescent="0.25">
      <c r="B24" t="s">
        <v>65</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row>
    <row r="25" spans="2:14" ht="21.75" customHeight="1" x14ac:dyDescent="0.25">
      <c r="B25" s="11" t="s">
        <v>66</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row>
    <row r="26" spans="2:14" ht="21.75" customHeight="1" x14ac:dyDescent="0.25">
      <c r="B26" s="71" t="s">
        <v>22</v>
      </c>
      <c r="C26" s="71"/>
      <c r="D26" s="71"/>
      <c r="E26" s="71"/>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14" ht="21.75" customHeight="1" x14ac:dyDescent="0.25">
      <c r="B27" s="77" t="s">
        <v>23</v>
      </c>
      <c r="C27" s="77"/>
      <c r="D27" s="77"/>
      <c r="E27" s="77"/>
      <c r="F27" s="77"/>
      <c r="G27" s="28">
        <f>I27+K27+M27</f>
        <v>0</v>
      </c>
      <c r="H27" s="27"/>
      <c r="I27" s="19"/>
      <c r="J27" s="27"/>
      <c r="K27" s="19"/>
      <c r="L27" s="33"/>
      <c r="M27" s="24"/>
      <c r="N27" s="27"/>
    </row>
    <row r="28" spans="2:14" ht="21.75" customHeight="1" x14ac:dyDescent="0.25">
      <c r="C28" s="8" t="s">
        <v>10</v>
      </c>
      <c r="G28" s="5">
        <f>SUM(G22:G27)</f>
        <v>0</v>
      </c>
      <c r="I28" s="5">
        <f>SUM(I22:I27)</f>
        <v>0</v>
      </c>
      <c r="K28" s="5">
        <f>SUM(K22:K26,K27)</f>
        <v>0</v>
      </c>
      <c r="M28" s="5">
        <f>SUM(M22:M26,M27)</f>
        <v>0</v>
      </c>
    </row>
    <row r="29" spans="2:14" ht="15.75" thickBot="1" x14ac:dyDescent="0.3"/>
    <row r="30" spans="2:14" ht="21.75" customHeight="1" thickTop="1" thickBot="1" x14ac:dyDescent="0.35">
      <c r="B30" s="15" t="s">
        <v>12</v>
      </c>
      <c r="C30" s="14"/>
      <c r="D30" s="14"/>
      <c r="E30" s="14"/>
      <c r="F30" s="14"/>
      <c r="G30" s="25">
        <f>G19-G28</f>
        <v>0</v>
      </c>
      <c r="H30" s="26"/>
      <c r="I30" s="25">
        <f>I19-I28</f>
        <v>0</v>
      </c>
      <c r="J30" s="26"/>
      <c r="K30" s="25">
        <f>K19-K28</f>
        <v>0</v>
      </c>
      <c r="L30" s="25"/>
      <c r="M30" s="25">
        <f>M19-M28</f>
        <v>0</v>
      </c>
      <c r="N30" s="14"/>
    </row>
    <row r="31" spans="2:14" ht="15.75" thickTop="1" x14ac:dyDescent="0.25"/>
    <row r="32" spans="2:14" x14ac:dyDescent="0.25">
      <c r="B32" s="8" t="s">
        <v>13</v>
      </c>
    </row>
    <row r="33" spans="1:15" ht="21.75" customHeight="1" x14ac:dyDescent="0.25">
      <c r="A33" s="51">
        <v>1</v>
      </c>
      <c r="B33" s="72" t="str">
        <f>IF((OR(F5="2024 Fall Quarter")), Data1!P7, IF((OR(F5="2023 Fall Quarter")), Data1!P6, "Please choose a starting term for your cohort above."))</f>
        <v>Please choose a starting term for your cohort above.</v>
      </c>
      <c r="C33" s="72"/>
      <c r="D33" s="72"/>
      <c r="E33" s="72"/>
      <c r="F33" s="72"/>
      <c r="G33" s="72"/>
      <c r="H33" s="72"/>
      <c r="I33" s="72"/>
      <c r="J33" s="72"/>
      <c r="K33" s="72"/>
      <c r="L33" s="72"/>
      <c r="M33" s="72"/>
      <c r="N33" s="72"/>
      <c r="O33" s="72"/>
    </row>
    <row r="34" spans="1:15" ht="17.45" customHeight="1" x14ac:dyDescent="0.25">
      <c r="A34" s="51">
        <v>2</v>
      </c>
      <c r="B34" s="71" t="s">
        <v>102</v>
      </c>
      <c r="C34" s="71"/>
      <c r="D34" s="71"/>
      <c r="E34" s="71"/>
      <c r="F34" s="71"/>
      <c r="G34" s="71"/>
      <c r="H34" s="71"/>
      <c r="I34" s="71"/>
      <c r="J34" s="71"/>
      <c r="K34" s="71"/>
      <c r="L34" s="71"/>
      <c r="M34" s="71"/>
      <c r="N34" s="71"/>
    </row>
    <row r="35" spans="1:15" ht="30" customHeight="1" x14ac:dyDescent="0.25">
      <c r="A35" s="61">
        <v>3</v>
      </c>
      <c r="B35" s="72" t="s">
        <v>103</v>
      </c>
      <c r="C35" s="72"/>
      <c r="D35" s="72"/>
      <c r="E35" s="72"/>
      <c r="F35" s="72"/>
      <c r="G35" s="72"/>
      <c r="H35" s="72"/>
      <c r="I35" s="72"/>
      <c r="J35" s="72"/>
      <c r="K35" s="72"/>
      <c r="L35" s="72"/>
      <c r="M35" s="72"/>
      <c r="N35" s="72"/>
    </row>
    <row r="36" spans="1:15" ht="31.15" customHeight="1" x14ac:dyDescent="0.25">
      <c r="A36" s="61">
        <v>4</v>
      </c>
      <c r="B36" s="72" t="s">
        <v>67</v>
      </c>
      <c r="C36" s="72"/>
      <c r="D36" s="72"/>
      <c r="E36" s="72"/>
      <c r="F36" s="72"/>
      <c r="G36" s="72"/>
      <c r="H36" s="72"/>
      <c r="I36" s="72"/>
      <c r="J36" s="72"/>
      <c r="K36" s="72"/>
      <c r="L36" s="72"/>
      <c r="M36" s="72"/>
      <c r="N36" s="72"/>
    </row>
    <row r="37" spans="1:15" ht="62.25" customHeight="1" x14ac:dyDescent="0.25">
      <c r="A37" s="61">
        <v>5</v>
      </c>
      <c r="B37" s="72" t="s">
        <v>117</v>
      </c>
      <c r="C37" s="72"/>
      <c r="D37" s="72"/>
      <c r="E37" s="72"/>
      <c r="F37" s="72"/>
      <c r="G37" s="72"/>
      <c r="H37" s="72"/>
      <c r="I37" s="72"/>
      <c r="J37" s="72"/>
      <c r="K37" s="72"/>
      <c r="L37" s="72"/>
      <c r="M37" s="72"/>
      <c r="N37" s="72"/>
    </row>
    <row r="38" spans="1:15" ht="21.75" customHeight="1" x14ac:dyDescent="0.25"/>
    <row r="40" spans="1:15" x14ac:dyDescent="0.25">
      <c r="B40" s="67" t="s">
        <v>14</v>
      </c>
      <c r="C40" s="67"/>
      <c r="D40" s="67"/>
      <c r="E40" s="67"/>
      <c r="F40" s="67"/>
      <c r="G40" s="67"/>
      <c r="H40" s="67"/>
      <c r="I40" s="67"/>
      <c r="J40" s="67"/>
      <c r="K40" s="67"/>
      <c r="L40" s="67"/>
      <c r="M40" s="67"/>
      <c r="N40" s="67"/>
    </row>
  </sheetData>
  <sheetProtection algorithmName="SHA-512" hashValue="E1NLmzhyZP+/iwyuSEY1jtIF2uESoKbgHv3yeFGWcF1IUM4XEoZDFuIEJLKovAJgqP3wDxcbsfXOHavHNCcxMA==" saltValue="nrAMfZh4AjffRFCvFSrCjQ==" spinCount="100000" sheet="1" selectLockedCells="1"/>
  <mergeCells count="14">
    <mergeCell ref="B37:N37"/>
    <mergeCell ref="B40:N40"/>
    <mergeCell ref="B26:E26"/>
    <mergeCell ref="F2:N2"/>
    <mergeCell ref="B7:N7"/>
    <mergeCell ref="C13:D13"/>
    <mergeCell ref="B17:D17"/>
    <mergeCell ref="B18:D18"/>
    <mergeCell ref="F5:H5"/>
    <mergeCell ref="B35:N35"/>
    <mergeCell ref="B36:N36"/>
    <mergeCell ref="B27:F27"/>
    <mergeCell ref="B33:O33"/>
    <mergeCell ref="B34:N34"/>
  </mergeCells>
  <hyperlinks>
    <hyperlink ref="B17" r:id="rId1" display="Will you enroll in DU's health insurance plan?" xr:uid="{00000000-0004-0000-0300-000000000000}"/>
    <hyperlink ref="B18" r:id="rId2" display="Will you use DU Health &amp; Counseling Services? " xr:uid="{00000000-0004-0000-03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Data1!$A$25:$A$26</xm:f>
          </x14:formula1>
          <xm:sqref>E17</xm:sqref>
        </x14:dataValidation>
        <x14:dataValidation type="list" allowBlank="1" showInputMessage="1" showErrorMessage="1" xr:uid="{00000000-0002-0000-0300-000001000000}">
          <x14:formula1>
            <xm:f>Data1!$E$25:$E$43</xm:f>
          </x14:formula1>
          <xm:sqref>M9 I9 K9</xm:sqref>
        </x14:dataValidation>
        <x14:dataValidation type="list" allowBlank="1" showInputMessage="1" showErrorMessage="1" xr:uid="{7ED411FF-D562-4F00-9FAC-7C1B46B1C88E}">
          <x14:formula1>
            <xm:f>Data1!$A$33:$A$34</xm:f>
          </x14:formula1>
          <xm:sqref>F5:H5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5"/>
  <sheetViews>
    <sheetView showGridLines="0" showRowColHeaders="0" showRuler="0" zoomScaleNormal="100" workbookViewId="0">
      <selection activeCell="G4" sqref="G4:I4"/>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8" t="s">
        <v>99</v>
      </c>
      <c r="H2" s="68"/>
      <c r="I2" s="68"/>
      <c r="J2" s="68"/>
      <c r="K2" s="68"/>
      <c r="L2" s="68"/>
      <c r="M2" s="68"/>
      <c r="N2" s="68"/>
      <c r="O2" s="68"/>
    </row>
    <row r="3" spans="2:15" ht="26.25" customHeight="1" x14ac:dyDescent="0.25">
      <c r="B3" s="20"/>
      <c r="C3" s="20"/>
      <c r="D3" s="20"/>
      <c r="E3" s="20"/>
      <c r="F3" s="20"/>
      <c r="G3" s="21"/>
      <c r="H3" s="22"/>
      <c r="I3" s="22"/>
      <c r="J3" s="22"/>
      <c r="K3" s="22"/>
      <c r="L3" s="22"/>
      <c r="M3" s="22"/>
      <c r="N3" s="22"/>
      <c r="O3" s="22"/>
    </row>
    <row r="4" spans="2:15" ht="21" customHeight="1" x14ac:dyDescent="0.3">
      <c r="C4" s="6" t="s">
        <v>20</v>
      </c>
      <c r="D4" s="29"/>
      <c r="E4" s="29"/>
      <c r="G4" s="83" t="s">
        <v>101</v>
      </c>
      <c r="H4" s="84"/>
      <c r="I4" s="85"/>
    </row>
    <row r="5" spans="2:15" ht="15" customHeight="1" x14ac:dyDescent="0.25">
      <c r="I5" s="57" t="s">
        <v>91</v>
      </c>
      <c r="K5" s="57" t="s">
        <v>92</v>
      </c>
      <c r="L5" s="34"/>
      <c r="M5" s="57" t="s">
        <v>93</v>
      </c>
      <c r="N5" s="34"/>
      <c r="O5" s="57" t="s">
        <v>94</v>
      </c>
    </row>
    <row r="6" spans="2:15" ht="18" customHeight="1" x14ac:dyDescent="0.3">
      <c r="C6" s="6" t="s">
        <v>44</v>
      </c>
      <c r="E6" s="29"/>
      <c r="F6" s="29"/>
      <c r="G6" s="29"/>
      <c r="H6" s="29"/>
      <c r="I6" s="54" t="s">
        <v>63</v>
      </c>
      <c r="K6" s="55" t="s">
        <v>63</v>
      </c>
      <c r="L6"/>
      <c r="M6" s="56" t="s">
        <v>63</v>
      </c>
      <c r="N6"/>
      <c r="O6" s="56" t="s">
        <v>63</v>
      </c>
    </row>
    <row r="7" spans="2:15" ht="18.75" customHeight="1" x14ac:dyDescent="0.25"/>
    <row r="8" spans="2:15" ht="15.75" thickBot="1" x14ac:dyDescent="0.3">
      <c r="B8" s="1" t="s">
        <v>7</v>
      </c>
      <c r="C8" s="2"/>
      <c r="D8" s="2"/>
      <c r="E8" s="2"/>
      <c r="F8" s="2"/>
      <c r="G8" s="4" t="s">
        <v>3</v>
      </c>
      <c r="H8" s="3"/>
      <c r="I8" s="4" t="s">
        <v>95</v>
      </c>
      <c r="J8" s="3"/>
      <c r="K8" s="4" t="s">
        <v>96</v>
      </c>
      <c r="L8" s="4"/>
      <c r="M8" s="4" t="s">
        <v>97</v>
      </c>
      <c r="N8" s="4"/>
      <c r="O8" s="4" t="s">
        <v>98</v>
      </c>
    </row>
    <row r="9" spans="2:15" ht="9" customHeight="1" x14ac:dyDescent="0.25"/>
    <row r="10" spans="2:15" ht="21.75" customHeight="1" x14ac:dyDescent="0.25">
      <c r="B10" s="10" t="s">
        <v>1</v>
      </c>
      <c r="C10" s="76"/>
      <c r="D10" s="76"/>
      <c r="E10" s="11"/>
      <c r="F10" s="11"/>
      <c r="G10" s="12">
        <f>I10+K10+M10+O10</f>
        <v>0</v>
      </c>
      <c r="H10" s="11"/>
      <c r="I10" s="12">
        <f>IF((OR(G4="2026 Fall Quarter")), (VLOOKUP(I6,Data1!K25:N43, 2, FALSE)), IF((OR(G4="2025 Fall Quarter")), (VLOOKUP(I6, Data1!K25:N43, 4, FALSE)), 0))</f>
        <v>0</v>
      </c>
      <c r="J10" s="11"/>
      <c r="K10" s="12">
        <f>IF((OR(G4="2026 Fall Quarter")), (VLOOKUP(K6,Data1!K25:N43, 2, FALSE)), IF((OR(G4="2025 Fall Quarter")), (VLOOKUP(K6, Data1!K25:N43, 4, FALSE)), 0))</f>
        <v>0</v>
      </c>
      <c r="L10" s="12"/>
      <c r="M10" s="12">
        <f>IF((OR(G4="2026 Fall Quarter")), (VLOOKUP(M6,Data1!K25:N43, 2, FALSE)), IF((OR(G4="2025 Fall Quarter")), (VLOOKUP(M6, Data1!K25:N43, 4, FALSE)), 0))</f>
        <v>0</v>
      </c>
      <c r="N10" s="12"/>
      <c r="O10" s="12">
        <f>IF((OR(G4="2026 Fall Quarter")), (VLOOKUP(O6,Data1!K25:N43, 2, FALSE)), IF((OR(G4="2025 Fall Quarter")), (VLOOKUP(O6, Data1!K25:N43, 4, FALSE)), 0))</f>
        <v>0</v>
      </c>
    </row>
    <row r="11" spans="2:15" ht="21.75" customHeight="1" x14ac:dyDescent="0.25">
      <c r="B11" s="35" t="s">
        <v>2</v>
      </c>
      <c r="G11" s="36">
        <f>I11+K11+M11+O11</f>
        <v>0</v>
      </c>
      <c r="I11" s="36">
        <f>VLOOKUP(I6,Data1!K25:M43,3,FALSE)</f>
        <v>0</v>
      </c>
      <c r="K11" s="36">
        <f>VLOOKUP(K6,Data1!K25:M43,3,FALSE)</f>
        <v>0</v>
      </c>
      <c r="L11" s="36"/>
      <c r="M11" s="36">
        <f>VLOOKUP(M6,Data1!K25:M43,3,FALSE)</f>
        <v>0</v>
      </c>
      <c r="N11" s="36"/>
      <c r="O11" s="36">
        <f>VLOOKUP(O6,Data1!K25:M43,3,FALSE)</f>
        <v>0</v>
      </c>
    </row>
    <row r="12" spans="2:15" ht="21.75" customHeight="1" x14ac:dyDescent="0.25">
      <c r="B12" s="78" t="s">
        <v>56</v>
      </c>
      <c r="C12" s="78"/>
      <c r="D12" s="79"/>
      <c r="E12" s="31"/>
      <c r="F12" s="11"/>
      <c r="G12" s="30">
        <f>I12+K12+M12+O12</f>
        <v>0</v>
      </c>
      <c r="H12" s="11"/>
      <c r="I12" s="30">
        <f>IF(AND(I6&lt;&gt;"not enrolled", E12="Yes"), (VLOOKUP(E12, Data1!A25:C26, 2, FALSE)), 0)</f>
        <v>0</v>
      </c>
      <c r="J12" s="11"/>
      <c r="K12" s="30">
        <v>0</v>
      </c>
      <c r="L12" s="30"/>
      <c r="M12" s="30">
        <f>IF(AND(M6&lt;&gt;"not enrolled", E12="Yes"), (VLOOKUP(E12, Data1!A25:C26, 2, FALSE)), 0)</f>
        <v>0</v>
      </c>
      <c r="N12" s="11"/>
      <c r="O12" s="37">
        <v>0</v>
      </c>
    </row>
    <row r="13" spans="2:15" ht="21.75" customHeight="1" x14ac:dyDescent="0.25">
      <c r="B13" s="80" t="s">
        <v>64</v>
      </c>
      <c r="C13" s="80"/>
      <c r="D13" s="80"/>
      <c r="E13" s="60"/>
      <c r="F13" s="7"/>
      <c r="G13" s="32">
        <f>I13+K13+M13+O13</f>
        <v>0</v>
      </c>
      <c r="H13" s="7"/>
      <c r="I13" s="62">
        <f>IF(AND(I6&lt;&gt;"select", I6&lt;&gt;"not enrolled",I6&lt;&gt;"4 credits",I6&lt;&gt;"5 credits",I6&lt;&gt;"6 credits",I6&lt;&gt;"7 credits"), 258, 0)</f>
        <v>0</v>
      </c>
      <c r="J13" s="7"/>
      <c r="K13" s="62">
        <f>IF(AND(K6&lt;&gt;"select", K6&lt;&gt;"not enrolled",K6&lt;&gt;"4 credits",K6&lt;&gt;"5 credits",K6&lt;&gt;"6 credits",K6&lt;&gt;"7 credits"), 258, 0)</f>
        <v>0</v>
      </c>
      <c r="L13" s="32"/>
      <c r="M13" s="62">
        <f>IF(AND(M6&lt;&gt;"select", M6&lt;&gt;"not enrolled",M6&lt;&gt;"4 credits",M6&lt;&gt;"5 credits",M6&lt;&gt;"6 credits",M6&lt;&gt;"7 credits"), 258, 0)</f>
        <v>0</v>
      </c>
      <c r="N13" s="7"/>
      <c r="O13" s="63">
        <f>IF(AND(O6&lt;&gt;"select", O6&lt;&gt;"not enrolled",O6&lt;&gt;"4 credits",O6&lt;&gt;"5 credits",O6&lt;&gt;"6 credits",O6&lt;&gt;"7 credits"), 258, 0)</f>
        <v>0</v>
      </c>
    </row>
    <row r="14" spans="2:15" ht="21.75" customHeight="1" x14ac:dyDescent="0.25">
      <c r="C14" s="8" t="s">
        <v>6</v>
      </c>
      <c r="G14" s="9">
        <f>SUM(G10:G13)</f>
        <v>0</v>
      </c>
      <c r="I14" s="9">
        <f>SUM(I10:I13)</f>
        <v>0</v>
      </c>
      <c r="K14" s="9">
        <f>SUM(K10:K13)</f>
        <v>0</v>
      </c>
      <c r="L14" s="9"/>
      <c r="M14" s="9">
        <f>SUM(M10:M13)</f>
        <v>0</v>
      </c>
      <c r="N14" s="9"/>
      <c r="O14" s="9">
        <f>SUM(O10:O13)</f>
        <v>0</v>
      </c>
    </row>
    <row r="15" spans="2:15" ht="24" customHeight="1" x14ac:dyDescent="0.25"/>
    <row r="16" spans="2:15" ht="15.75" thickBot="1" x14ac:dyDescent="0.3">
      <c r="B16" s="1" t="s">
        <v>11</v>
      </c>
      <c r="C16" s="2"/>
      <c r="D16" s="2"/>
      <c r="E16" s="2"/>
      <c r="F16" s="2"/>
      <c r="G16" s="4" t="s">
        <v>3</v>
      </c>
      <c r="H16" s="3"/>
      <c r="I16" s="4" t="s">
        <v>95</v>
      </c>
      <c r="J16" s="3"/>
      <c r="K16" s="4" t="s">
        <v>96</v>
      </c>
      <c r="L16" s="4"/>
      <c r="M16" s="4" t="s">
        <v>97</v>
      </c>
      <c r="N16" s="4"/>
      <c r="O16" s="4" t="s">
        <v>98</v>
      </c>
    </row>
    <row r="17" spans="2:15" ht="21.75" customHeight="1" x14ac:dyDescent="0.25">
      <c r="B17" t="s">
        <v>16</v>
      </c>
      <c r="G17" s="16"/>
      <c r="I17" s="5">
        <f>IF((AND(I6&lt;&gt;"not enrolled",K6&lt;&gt;"not enrolled",M6&lt;&gt;"not enrolled",O6&lt;&gt;"not enrolled")),(G17/4), IF((AND(I6&lt;&gt;"not enrolled",K6&lt;&gt;"not enrolled",M6&lt;&gt;"not enrolled",O6="not enrolled")),(G17/3), IF((AND(I6&lt;&gt;"not enrolled",K6&lt;&gt;"not enrolled",M6="not enrolled",O6="not enrolled")),(G17/2), IF((AND(I6&lt;&gt;"not enrolled",K6="not enrolled",M6="not enrolled",O6="not enrolled")),(G17/1), 0))))</f>
        <v>0</v>
      </c>
      <c r="K17" s="5">
        <f>IF((AND(I6&lt;&gt;"not enrolled",K6&lt;&gt;"not enrolled",M6&lt;&gt;"not enrolled",O6&lt;&gt;"not enrolled")),(G17/4), IF((AND(I6&lt;&gt;"not enrolled",K6&lt;&gt;"not enrolled",M6&lt;&gt;"not enrolled",O6="not enrolled")),(G17/3), IF((AND(I6="not enrolled",K6&lt;&gt;"not enrolled",M6&lt;&gt;"not enrolled",O6&lt;&gt;"not enrolled")),(G17/3), IF((AND(I6&lt;&gt;"not enrolled",K6&lt;&gt;"not enrolled",M6="not enrolled",O6="not enrolled")),(G17/2), 0))))</f>
        <v>0</v>
      </c>
      <c r="M17" s="5">
        <f>IF((AND(I6&lt;&gt;"not enrolled",K6&lt;&gt;"not enrolled",M6&lt;&gt;"not enrolled",O6&lt;&gt;"not enrolled")),(G17/4), IF((AND(I6&lt;&gt;"not enrolled",K6&lt;&gt;"not enrolled",M6&lt;&gt;"not enrolled",O6="not enrolled")),(G17/3), IF((AND(I6="not enrolled",K6&lt;&gt;"not enrolled",M6&lt;&gt;"not enrolled",O6&lt;&gt;"not enrolled")),(G17/3), IF((AND(I6="not enrolled",K6="not enrolled",M6&lt;&gt;"not enrolled",O6&lt;&gt;"not enrolled")),(G17/2), 0))))</f>
        <v>0</v>
      </c>
      <c r="O17" s="5">
        <f>IF((AND(I6&lt;&gt;"not enrolled",K6&lt;&gt;"not enrolled",M6&lt;&gt;"not enrolled",O6&lt;&gt;"not enrolled")),(G17/4), IF((AND(I6="not enrolled",K6&lt;&gt;"not enrolled",M6&lt;&gt;"not enrolled",O6&lt;&gt;"not enrolled")),(G17/3), IF((AND(I6="not enrolled",K6="not enrolled",M6&lt;&gt;"not enrolled",O6&lt;&gt;"not enrolled")),(G17/2),  IF((AND(I6="not enrolled",K6="not enrolled",M6="not enrolled",O6&lt;&gt;"not enrolled")),(G17), 0))))</f>
        <v>0</v>
      </c>
    </row>
    <row r="18" spans="2:15" ht="21.75" customHeight="1" x14ac:dyDescent="0.25">
      <c r="B18" s="11" t="s">
        <v>8</v>
      </c>
      <c r="C18" s="11"/>
      <c r="D18" s="11"/>
      <c r="E18" s="11"/>
      <c r="F18" s="11"/>
      <c r="G18" s="17"/>
      <c r="H18" s="11"/>
      <c r="I18" s="12">
        <f>IF((AND(I6&lt;&gt;"not enrolled",K6&lt;&gt;"not enrolled",M6&lt;&gt;"not enrolled",O6&lt;&gt;"not enrolled")),(G18/4), IF((AND(I6&lt;&gt;"not enrolled",K6&lt;&gt;"not enrolled",M6&lt;&gt;"not enrolled",O6="not enrolled")),(G18/3), IF((AND(I6&lt;&gt;"not enrolled",K6&lt;&gt;"not enrolled",M6="not enrolled",O6="not enrolled")),(G18/2), IF((AND(I6&lt;&gt;"not enrolled",K6="not enrolled",M6="not enrolled",O6="not enrolled")),(G18/1), 0))))</f>
        <v>0</v>
      </c>
      <c r="J18" s="11"/>
      <c r="K18" s="12">
        <f>IF((AND(I6&lt;&gt;"not enrolled",K6&lt;&gt;"not enrolled",M6&lt;&gt;"not enrolled",O6&lt;&gt;"not enrolled")),(G18/4), IF((AND(I6&lt;&gt;"not enrolled",K6&lt;&gt;"not enrolled",M6&lt;&gt;"not enrolled",O6="not enrolled")),(G18/3), IF((AND(I6="not enrolled",K6&lt;&gt;"not enrolled",M6&lt;&gt;"not enrolled",O6&lt;&gt;"not enrolled")),(G18/3), IF((AND(I6&lt;&gt;"not enrolled",K6&lt;&gt;"not enrolled",M6="not enrolled",O6="not enrolled")),(G18/2), 0))))</f>
        <v>0</v>
      </c>
      <c r="L18" s="12"/>
      <c r="M18" s="12">
        <f>IF((AND(I6&lt;&gt;"not enrolled",K6&lt;&gt;"not enrolled",M6&lt;&gt;"not enrolled",O6&lt;&gt;"not enrolled")),(G18/4), IF((AND(I6&lt;&gt;"not enrolled",K6&lt;&gt;"not enrolled",M6&lt;&gt;"not enrolled",O6="not enrolled")),(G18/3), IF((AND(I6="not enrolled",K6&lt;&gt;"not enrolled",M6&lt;&gt;"not enrolled",O6&lt;&gt;"not enrolled")),(G18/3), IF((AND(I6="not enrolled",K6="not enrolled",M6&lt;&gt;"not enrolled",O6&lt;&gt;"not enrolled")),(G18/2), 0))))</f>
        <v>0</v>
      </c>
      <c r="N18" s="12"/>
      <c r="O18" s="12">
        <f>IF((AND(I6&lt;&gt;"not enrolled",K6&lt;&gt;"not enrolled",M6&lt;&gt;"not enrolled",O6&lt;&gt;"not enrolled")),(G18/4), IF((AND(I6="not enrolled",K6&lt;&gt;"not enrolled",M6&lt;&gt;"not enrolled",O6&lt;&gt;"not enrolled")),(G18/3), IF((AND(I6="not enrolled",K6="not enrolled",M6&lt;&gt;"not enrolled",O6&lt;&gt;"not enrolled")),(G18/2),  IF((AND(I6="not enrolled",K6="not enrolled",M6="not enrolled",O6&lt;&gt;"not enrolled")),(G18), 0))))</f>
        <v>0</v>
      </c>
    </row>
    <row r="19" spans="2:15" ht="21.75" customHeight="1" x14ac:dyDescent="0.25">
      <c r="B19" t="s">
        <v>65</v>
      </c>
      <c r="E19" s="18"/>
      <c r="G19" s="5">
        <f>SUM(I19,K19,M19,O19)</f>
        <v>0</v>
      </c>
      <c r="I19" s="5">
        <f>IF((AND(I6&lt;&gt;"not enrolled",K6&lt;&gt;"not enrolled",M6&lt;&gt;"not enrolled",O6&lt;&gt;"not enrolled")), ROUND(((E19-(E19*0.01057))/4),0), IF((AND(I6&lt;&gt;"not enrolled",K6&lt;&gt;"not enrolled",M6&lt;&gt;"not enrolled",O6="not enrolled")),ROUND(((E19-(E19*0.01057))/3),0), IF((AND(I6&lt;&gt;"not enrolled",K6&lt;&gt;"not enrolled",M6="not enrolled",O6="not enrolled")),ROUND(((E19-(E19*0.01057))/2),0), IF((AND(I6&lt;&gt;"not enrolled",K6="not enrolled",M6="not enrolled",O6="not enrolled")),ROUND(((E19-(E19*0.01057))/1),0), 0))))</f>
        <v>0</v>
      </c>
      <c r="K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IF((AND(I6&lt;&gt;"not enrolled",K6&lt;&gt;"not enrolled",M6="not enrolled",O6="not enrolled")),ROUND(((E19-(E19*0.01057))/2),0), 0))))</f>
        <v>0</v>
      </c>
      <c r="M19" s="5">
        <f>IF((AND(I6&lt;&gt;"not enrolled",K6&lt;&gt;"not enrolled",M6&lt;&gt;"not enrolled",O6&lt;&gt;"not enrolled")),ROUND(((E19-(E19*0.01057))/4),0), IF((AND(I6&lt;&gt;"not enrolled",K6&lt;&gt;"not enrolled",M6&lt;&gt;"not enrolled",O6="not enrolled")),ROUND(((E19-(E19*0.01057))/3),0), IF((AND(I6="not enrolled",K6&lt;&gt;"not enrolled",M6&lt;&gt;"not enrolled",O6&lt;&gt;"not enrolled")),ROUND(((E19-(E19*0.01057))/3),0), IF((AND(I6="not enrolled",K6="not enrolled",M6&lt;&gt;"not enrolled",O6&lt;&gt;"not enrolled")),ROUND(((E19-(E19*0.01057))/2),0), 0))))</f>
        <v>0</v>
      </c>
      <c r="O19" s="5">
        <f>IF((AND(I6&lt;&gt;"not enrolled",K6&lt;&gt;"not enrolled",M6&lt;&gt;"not enrolled",O6&lt;&gt;"not enrolled")),ROUND(((E19-(E19*0.01057))/4),0), IF((AND(I6="not enrolled",K6&lt;&gt;"not enrolled",M6&lt;&gt;"not enrolled",O6&lt;&gt;"not enrolled")),ROUND(((E19-(E19*0.01057))/3),0), IF((AND(I6="not enrolled",K6="not enrolled",M6&lt;&gt;"not enrolled",O6&lt;&gt;"not enrolled")),ROUND(((E19-(E19*0.01057))/2),0),  IF((AND(I6="not enrolled",K6="not enrolled",M6="not enrolled",O6&lt;&gt;"not enrolled")),ROUND(((E19-(E19*0.01057))/1),0), 0))))</f>
        <v>0</v>
      </c>
    </row>
    <row r="20" spans="2:15" ht="21.75" customHeight="1" x14ac:dyDescent="0.25">
      <c r="B20" s="11" t="s">
        <v>66</v>
      </c>
      <c r="C20" s="11"/>
      <c r="D20" s="11"/>
      <c r="E20" s="18"/>
      <c r="F20" s="11"/>
      <c r="G20" s="12">
        <f>SUM(I20,K20,M20,O20)</f>
        <v>0</v>
      </c>
      <c r="H20" s="11"/>
      <c r="I20" s="12">
        <f>IF((AND(I6&lt;&gt;"not enrolled",K6&lt;&gt;"not enrolled",M6&lt;&gt;"not enrolled",O6&lt;&gt;"not enrolled")), ROUND(((E20-(E20*0.04228))/4),0), IF((AND(I6&lt;&gt;"not enrolled",K6&lt;&gt;"not enrolled",M6&lt;&gt;"not enrolled",O6="not enrolled")),ROUND(((E20-(E20*0.04228))/3),0), IF((AND(I6&lt;&gt;"not enrolled",K6&lt;&gt;"not enrolled",M6="not enrolled",O6="not enrolled")),ROUND(((E20-(E20*0.04228))/2),0), IF((AND(I6&lt;&gt;"not enrolled",K6="not enrolled",M6="not enrolled",O6="not enrolled")),ROUND(((E20-(E20*0.04228))/1),0), 0))))</f>
        <v>0</v>
      </c>
      <c r="J20" s="11"/>
      <c r="K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IF((AND(I6&lt;&gt;"not enrolled",K6&lt;&gt;"not enrolled",M6="not enrolled",O6="not enrolled")),ROUND(((E20-(E20*0.04228))/2),0), 0))))</f>
        <v>0</v>
      </c>
      <c r="L20" s="12"/>
      <c r="M20" s="12">
        <f>IF((AND(I6&lt;&gt;"not enrolled",K6&lt;&gt;"not enrolled",M6&lt;&gt;"not enrolled",O6&lt;&gt;"not enrolled")),ROUND(((E20-(E20*0.04228))/4),0), IF((AND(I6&lt;&gt;"not enrolled",K6&lt;&gt;"not enrolled",M6&lt;&gt;"not enrolled",O6="not enrolled")),ROUND(((E20-(E20*0.04228))/3),0), IF((AND(I6="not enrolled",K6&lt;&gt;"not enrolled",M6&lt;&gt;"not enrolled",O6&lt;&gt;"not enrolled")),ROUND(((E20-(E20*0.04228))/3),0), IF((AND(I6="not enrolled",K6="not enrolled",M6&lt;&gt;"not enrolled",O6&lt;&gt;"not enrolled")),ROUND(((E20-(E20*0.04228))/2),0), 0))))</f>
        <v>0</v>
      </c>
      <c r="N20" s="12"/>
      <c r="O20" s="12">
        <f>IF((AND(I6&lt;&gt;"not enrolled",K6&lt;&gt;"not enrolled",M6&lt;&gt;"not enrolled",O6&lt;&gt;"not enrolled")),ROUND(((E20-(E20*0.04228))/4),0), IF((AND(I6="not enrolled",K6&lt;&gt;"not enrolled",M6&lt;&gt;"not enrolled",O6&lt;&gt;"not enrolled")),ROUND(((E20-(E20*0.04228))/3),0), IF((AND(I6="not enrolled",K6="not enrolled",M6&lt;&gt;"not enrolled",O6&lt;&gt;"not enrolled")),ROUND(((E20-(E20*0.04228))/2),0),  IF((AND(I6="not enrolled",K6="not enrolled",M6="not enrolled",O6&lt;&gt;"not enrolled")),ROUND(((E20-(E20*0.04228))/1),0), 0))))</f>
        <v>0</v>
      </c>
    </row>
    <row r="21" spans="2:15" ht="21.75" customHeight="1" x14ac:dyDescent="0.25">
      <c r="B21" t="s">
        <v>9</v>
      </c>
      <c r="G21" s="17"/>
      <c r="I21" s="5">
        <f>IF((AND(I6&lt;&gt;"not enrolled",K6&lt;&gt;"not enrolled",M6&lt;&gt;"not enrolled",O6&lt;&gt;"not enrolled")),(G21/4), IF((AND(I6&lt;&gt;"not enrolled",K6&lt;&gt;"not enrolled",M6&lt;&gt;"not enrolled",O6="not enrolled")),(G21/3), IF((AND(I6&lt;&gt;"not enrolled",K6&lt;&gt;"not enrolled",M6="not enrolled",O6="not enrolled")),(G21/2), IF((AND(I6&lt;&gt;"not enrolled",K6="not enrolled",M6="not enrolled",O6="not enrolled")),(G21/1), 0))))</f>
        <v>0</v>
      </c>
      <c r="K21" s="5">
        <f>IF((AND(I6&lt;&gt;"not enrolled",K6&lt;&gt;"not enrolled",M6&lt;&gt;"not enrolled",O6&lt;&gt;"not enrolled")),(G21/4), IF((AND(I6&lt;&gt;"not enrolled",K6&lt;&gt;"not enrolled",M6&lt;&gt;"not enrolled",O6="not enrolled")),(G21/3), IF((AND(I6="not enrolled",K6&lt;&gt;"not enrolled",M6&lt;&gt;"not enrolled",O6&lt;&gt;"not enrolled")),(G21/3), IF((AND(I6&lt;&gt;"not enrolled",K6&lt;&gt;"not enrolled",M6="not enrolled",O6="not enrolled")),(G21/2), 0))))</f>
        <v>0</v>
      </c>
      <c r="M21" s="5">
        <f>IF((AND(I6&lt;&gt;"not enrolled",K6&lt;&gt;"not enrolled",M6&lt;&gt;"not enrolled",O6&lt;&gt;"not enrolled")),(G21/4), IF((AND(I6&lt;&gt;"not enrolled",K6&lt;&gt;"not enrolled",M6&lt;&gt;"not enrolled",O6="not enrolled")),(G21/3), IF((AND(I6="not enrolled",K6&lt;&gt;"not enrolled",M6&lt;&gt;"not enrolled",O6&lt;&gt;"not enrolled")),(G21/3), IF((AND(I6="not enrolled",K6="not enrolled",M6&lt;&gt;"not enrolled",O6&lt;&gt;"not enrolled")),(G21/2), 0))))</f>
        <v>0</v>
      </c>
      <c r="O21" s="5">
        <f>IF((AND(I6&lt;&gt;"not enrolled",K6&lt;&gt;"not enrolled",M6&lt;&gt;"not enrolled",O6&lt;&gt;"not enrolled")),(G21/4), IF((AND(I6="not enrolled",K6&lt;&gt;"not enrolled",M6&lt;&gt;"not enrolled",O6&lt;&gt;"not enrolled")),(G21/3), IF((AND(I6="not enrolled",K6="not enrolled",M6&lt;&gt;"not enrolled",O6&lt;&gt;"not enrolled")),(G21/2),  IF((AND(I6="not enrolled",K6="not enrolled",M6="not enrolled",O6&lt;&gt;"not enrolled")),(G21), 0))))</f>
        <v>0</v>
      </c>
    </row>
    <row r="22" spans="2:15" ht="21.75" customHeight="1" x14ac:dyDescent="0.25">
      <c r="B22" s="77" t="s">
        <v>23</v>
      </c>
      <c r="C22" s="77"/>
      <c r="D22" s="77"/>
      <c r="E22" s="77"/>
      <c r="F22" s="77"/>
      <c r="G22" s="28">
        <f>I22+K22+M22+O22</f>
        <v>0</v>
      </c>
      <c r="H22" s="27"/>
      <c r="I22" s="19"/>
      <c r="J22" s="27"/>
      <c r="K22" s="19"/>
      <c r="L22" s="33"/>
      <c r="M22" s="19"/>
      <c r="N22" s="33"/>
      <c r="O22" s="19"/>
    </row>
    <row r="23" spans="2:15" ht="21.75" customHeight="1" x14ac:dyDescent="0.25">
      <c r="C23" s="8" t="s">
        <v>10</v>
      </c>
      <c r="G23" s="5">
        <f>SUM(G17:G22)</f>
        <v>0</v>
      </c>
      <c r="I23" s="5">
        <f>SUM(I17:I22)</f>
        <v>0</v>
      </c>
      <c r="K23" s="5">
        <f>SUM(K17:K22)</f>
        <v>0</v>
      </c>
      <c r="M23" s="5">
        <f>SUM(M17:M22)</f>
        <v>0</v>
      </c>
      <c r="O23" s="5">
        <f>SUM(O17:O22)</f>
        <v>0</v>
      </c>
    </row>
    <row r="24" spans="2:15" ht="15.75" thickBot="1" x14ac:dyDescent="0.3"/>
    <row r="25" spans="2:15" ht="21.75" customHeight="1" thickTop="1" thickBot="1" x14ac:dyDescent="0.35">
      <c r="B25" s="15" t="s">
        <v>12</v>
      </c>
      <c r="C25" s="14"/>
      <c r="D25" s="14"/>
      <c r="E25" s="14"/>
      <c r="F25" s="14"/>
      <c r="G25" s="25">
        <f>G14-G23</f>
        <v>0</v>
      </c>
      <c r="H25" s="26"/>
      <c r="I25" s="25">
        <f>I14-I23</f>
        <v>0</v>
      </c>
      <c r="J25" s="26"/>
      <c r="K25" s="25">
        <f>K14-K23</f>
        <v>0</v>
      </c>
      <c r="L25" s="25"/>
      <c r="M25" s="25">
        <f>M14-M23</f>
        <v>0</v>
      </c>
      <c r="N25" s="25"/>
      <c r="O25" s="25">
        <f>O14-O23</f>
        <v>0</v>
      </c>
    </row>
    <row r="26" spans="2:15" ht="15.75" thickTop="1" x14ac:dyDescent="0.25"/>
    <row r="27" spans="2:15" x14ac:dyDescent="0.25">
      <c r="B27" s="8" t="s">
        <v>13</v>
      </c>
    </row>
    <row r="28" spans="2:15" ht="22.9" customHeight="1" x14ac:dyDescent="0.25">
      <c r="B28" s="74" t="s">
        <v>112</v>
      </c>
      <c r="C28" s="72"/>
      <c r="D28" s="72"/>
      <c r="E28" s="72"/>
      <c r="F28" s="72"/>
      <c r="G28" s="72"/>
      <c r="H28" s="72"/>
      <c r="I28" s="72"/>
      <c r="J28" s="72"/>
      <c r="K28" s="72"/>
      <c r="L28" s="72"/>
      <c r="M28" s="72"/>
      <c r="N28" s="72"/>
      <c r="O28" s="72"/>
    </row>
    <row r="29" spans="2:15" ht="21.75" customHeight="1" x14ac:dyDescent="0.25">
      <c r="B29" s="71" t="s">
        <v>109</v>
      </c>
      <c r="C29" s="71"/>
      <c r="D29" s="71"/>
      <c r="E29" s="71"/>
      <c r="F29" s="71"/>
      <c r="G29" s="71"/>
      <c r="H29" s="71"/>
      <c r="I29" s="71"/>
      <c r="J29" s="71"/>
      <c r="K29" s="71"/>
      <c r="L29" s="71"/>
      <c r="M29" s="71"/>
      <c r="N29" s="71"/>
      <c r="O29" s="71"/>
    </row>
    <row r="30" spans="2:15" ht="48.75" customHeight="1" x14ac:dyDescent="0.25">
      <c r="B30" s="72" t="s">
        <v>108</v>
      </c>
      <c r="C30" s="72"/>
      <c r="D30" s="72"/>
      <c r="E30" s="72"/>
      <c r="F30" s="72"/>
      <c r="G30" s="72"/>
      <c r="H30" s="72"/>
      <c r="I30" s="72"/>
      <c r="J30" s="72"/>
      <c r="K30" s="72"/>
      <c r="L30" s="72"/>
      <c r="M30" s="72"/>
      <c r="N30" s="72"/>
      <c r="O30" s="35"/>
    </row>
    <row r="31" spans="2:15" ht="34.5" customHeight="1" x14ac:dyDescent="0.25">
      <c r="B31" s="72" t="s">
        <v>75</v>
      </c>
      <c r="C31" s="72"/>
      <c r="D31" s="72"/>
      <c r="E31" s="72"/>
      <c r="F31" s="72"/>
      <c r="G31" s="72"/>
      <c r="H31" s="72"/>
      <c r="I31" s="72"/>
      <c r="J31" s="72"/>
      <c r="K31" s="72"/>
      <c r="L31" s="72"/>
      <c r="M31" s="72"/>
      <c r="N31" s="72"/>
      <c r="O31" s="72"/>
    </row>
    <row r="32" spans="2:15" ht="63.75" customHeight="1" x14ac:dyDescent="0.25">
      <c r="B32" s="72" t="s">
        <v>118</v>
      </c>
      <c r="C32" s="72"/>
      <c r="D32" s="72"/>
      <c r="E32" s="72"/>
      <c r="F32" s="72"/>
      <c r="G32" s="72"/>
      <c r="H32" s="72"/>
      <c r="I32" s="72"/>
      <c r="J32" s="72"/>
      <c r="K32" s="72"/>
      <c r="L32" s="72"/>
      <c r="M32" s="72"/>
      <c r="N32" s="72"/>
      <c r="O32" s="72"/>
    </row>
    <row r="33" spans="2:15" ht="21.75" customHeight="1" x14ac:dyDescent="0.25"/>
    <row r="35" spans="2:15" x14ac:dyDescent="0.25">
      <c r="B35" s="67" t="s">
        <v>14</v>
      </c>
      <c r="C35" s="67"/>
      <c r="D35" s="67"/>
      <c r="E35" s="67"/>
      <c r="F35" s="67"/>
      <c r="G35" s="67"/>
      <c r="H35" s="67"/>
      <c r="I35" s="67"/>
      <c r="J35" s="67"/>
      <c r="K35" s="67"/>
      <c r="L35" s="67"/>
      <c r="M35" s="67"/>
      <c r="N35" s="67"/>
      <c r="O35" s="67"/>
    </row>
  </sheetData>
  <sheetProtection algorithmName="SHA-512" hashValue="y2wRZKA9YhGGBd7G67tCn6cbaJ4b8rKyqRsQYR3fwcT6o00oqcm1APNARcrlxNLzX3ZBavy3oJRKBvzgIrVq/Q==" saltValue="/qnX5KF0Mw2W1CLLKrcKJg==" spinCount="100000" sheet="1" selectLockedCells="1"/>
  <mergeCells count="12">
    <mergeCell ref="B32:O32"/>
    <mergeCell ref="B35:O35"/>
    <mergeCell ref="G2:O2"/>
    <mergeCell ref="C10:D10"/>
    <mergeCell ref="B22:F22"/>
    <mergeCell ref="B28:O28"/>
    <mergeCell ref="B29:O29"/>
    <mergeCell ref="B12:D12"/>
    <mergeCell ref="B13:D13"/>
    <mergeCell ref="B30:N30"/>
    <mergeCell ref="B31:O31"/>
    <mergeCell ref="G4:I4"/>
  </mergeCells>
  <hyperlinks>
    <hyperlink ref="B12" r:id="rId1" display="Will you enroll in DU's health insurance plan?" xr:uid="{00000000-0004-0000-0400-000000000000}"/>
    <hyperlink ref="B13" r:id="rId2" display="Will you use DU Health &amp; Counseling Services? " xr:uid="{00000000-0004-0000-0400-000001000000}"/>
  </hyperlinks>
  <pageMargins left="0.5" right="0.5" top="0.5" bottom="0.5" header="0.3" footer="0.3"/>
  <pageSetup scale="67"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Data1!$A$25:$A$26</xm:f>
          </x14:formula1>
          <xm:sqref>E12</xm:sqref>
        </x14:dataValidation>
        <x14:dataValidation type="list" allowBlank="1" showInputMessage="1" showErrorMessage="1" xr:uid="{00000000-0002-0000-0400-000001000000}">
          <x14:formula1>
            <xm:f>Data1!$K$25:$K$43</xm:f>
          </x14:formula1>
          <xm:sqref>O6 I6 K6 M6</xm:sqref>
        </x14:dataValidation>
        <x14:dataValidation type="list" allowBlank="1" showInputMessage="1" showErrorMessage="1" xr:uid="{A8057A53-6551-4C80-B53F-DA8BB3F042C4}">
          <x14:formula1>
            <xm:f>Data1!$A$33:$A$34</xm:f>
          </x14:formula1>
          <xm:sqref>G4:I4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7"/>
  <sheetViews>
    <sheetView showGridLines="0" showRowColHeaders="0" showRuler="0" zoomScaleNormal="100" workbookViewId="0">
      <selection activeCell="G5" sqref="G5:I5"/>
    </sheetView>
  </sheetViews>
  <sheetFormatPr defaultColWidth="8.85546875" defaultRowHeight="15" x14ac:dyDescent="0.25"/>
  <cols>
    <col min="1" max="1" width="4.140625" customWidth="1"/>
    <col min="4" max="4" width="26.140625"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8" t="s">
        <v>104</v>
      </c>
      <c r="H2" s="68"/>
      <c r="I2" s="68"/>
      <c r="J2" s="68"/>
      <c r="K2" s="68"/>
      <c r="L2" s="68"/>
      <c r="M2" s="68"/>
      <c r="N2" s="68"/>
      <c r="O2" s="68"/>
    </row>
    <row r="3" spans="2:15" ht="8.25" customHeight="1" x14ac:dyDescent="0.25">
      <c r="B3" s="20"/>
      <c r="C3" s="20"/>
      <c r="D3" s="20"/>
      <c r="E3" s="20"/>
      <c r="F3" s="20"/>
      <c r="G3" s="21"/>
      <c r="H3" s="22"/>
      <c r="I3" s="22"/>
      <c r="J3" s="22"/>
      <c r="K3" s="22"/>
      <c r="L3" s="22"/>
      <c r="M3" s="22"/>
      <c r="N3" s="22"/>
      <c r="O3" s="22"/>
    </row>
    <row r="4" spans="2:15" ht="9.75" customHeight="1" x14ac:dyDescent="0.25"/>
    <row r="5" spans="2:15" ht="18.75" customHeight="1" x14ac:dyDescent="0.3">
      <c r="C5" s="6" t="s">
        <v>20</v>
      </c>
      <c r="D5" s="29"/>
      <c r="E5" s="29"/>
      <c r="G5" s="86" t="s">
        <v>105</v>
      </c>
      <c r="H5" s="87"/>
      <c r="I5" s="88"/>
    </row>
    <row r="6" spans="2:15" ht="9.75" customHeight="1" x14ac:dyDescent="0.25"/>
    <row r="7" spans="2:15" ht="15" customHeight="1" x14ac:dyDescent="0.25">
      <c r="I7" s="57" t="s">
        <v>91</v>
      </c>
      <c r="K7" s="57" t="s">
        <v>92</v>
      </c>
      <c r="L7" s="34"/>
      <c r="M7" s="57" t="s">
        <v>93</v>
      </c>
      <c r="N7" s="34"/>
      <c r="O7" s="57" t="s">
        <v>94</v>
      </c>
    </row>
    <row r="8" spans="2:15" ht="18" customHeight="1" x14ac:dyDescent="0.3">
      <c r="C8" s="6" t="s">
        <v>44</v>
      </c>
      <c r="E8" s="29"/>
      <c r="F8" s="29"/>
      <c r="G8" s="29"/>
      <c r="H8" s="29"/>
      <c r="I8" s="54" t="s">
        <v>63</v>
      </c>
      <c r="K8" s="55" t="s">
        <v>63</v>
      </c>
      <c r="L8"/>
      <c r="M8" s="56" t="s">
        <v>63</v>
      </c>
      <c r="N8"/>
      <c r="O8" s="56" t="s">
        <v>63</v>
      </c>
    </row>
    <row r="9" spans="2:15" ht="18.75" customHeight="1" x14ac:dyDescent="0.25"/>
    <row r="10" spans="2:15" ht="15.75" thickBot="1" x14ac:dyDescent="0.3">
      <c r="B10" s="1" t="s">
        <v>7</v>
      </c>
      <c r="C10" s="2"/>
      <c r="D10" s="2"/>
      <c r="E10" s="2"/>
      <c r="F10" s="2"/>
      <c r="G10" s="4" t="s">
        <v>3</v>
      </c>
      <c r="H10" s="3"/>
      <c r="I10" s="4" t="s">
        <v>95</v>
      </c>
      <c r="J10" s="3"/>
      <c r="K10" s="4" t="s">
        <v>96</v>
      </c>
      <c r="L10" s="4"/>
      <c r="M10" s="4" t="s">
        <v>97</v>
      </c>
      <c r="N10" s="4"/>
      <c r="O10" s="4" t="s">
        <v>98</v>
      </c>
    </row>
    <row r="11" spans="2:15" ht="9" customHeight="1" x14ac:dyDescent="0.25"/>
    <row r="12" spans="2:15" ht="21.75" customHeight="1" x14ac:dyDescent="0.25">
      <c r="B12" s="10" t="s">
        <v>1</v>
      </c>
      <c r="C12" s="76"/>
      <c r="D12" s="76"/>
      <c r="E12" s="11"/>
      <c r="F12" s="11"/>
      <c r="G12" s="12">
        <f>I12+K12+M12+O12</f>
        <v>0</v>
      </c>
      <c r="H12" s="11"/>
      <c r="I12" s="12">
        <f>IF((OR(G5="2026 Fall or 2027 Spring Quarter")), (VLOOKUP(I8,Data1!F2:H22, 2, FALSE)), IF((OR(G5="2025 Fall or 2026 Spring Quarter")), (VLOOKUP(I8, Data1!F2:H22, 3, FALSE)), 0))</f>
        <v>0</v>
      </c>
      <c r="J12" s="11"/>
      <c r="K12" s="12">
        <f>IF((OR(G5="2026 Fall or 2027 Spring Quarter")), (VLOOKUP(K8,Data1!F2:H22, 2, FALSE)), IF((OR(G5="2025 Fall or 2026 Spring Quarter")), (VLOOKUP(K8, Data1!F2:H22, 3, FALSE)), 0))</f>
        <v>0</v>
      </c>
      <c r="L12" s="12"/>
      <c r="M12" s="12">
        <f>IF((OR(G5="2026 Fall or 2027 Spring Quarter")), (VLOOKUP(M8,Data1!F2:H22, 2, FALSE)), IF((OR(G5="2025 Fall or 2026 Spring Quarter")), (VLOOKUP(M8, Data1!F2:H22, 3, FALSE)), 0))</f>
        <v>0</v>
      </c>
      <c r="N12" s="12"/>
      <c r="O12" s="12">
        <f>IF((OR(G5="2026 Fall or 2027 Spring Quarter")), (VLOOKUP(O8,Data1!F2:H22, 2, FALSE)), IF((OR(G5="2025 Fall or 2026 Spring Quarter")), (VLOOKUP(O8, Data1!F2:H22, 3, FALSE)), 0))</f>
        <v>0</v>
      </c>
    </row>
    <row r="13" spans="2:15" ht="21.75" customHeight="1" x14ac:dyDescent="0.25">
      <c r="B13" s="35" t="s">
        <v>2</v>
      </c>
      <c r="G13" s="36">
        <f>I13+K13+M13+O13</f>
        <v>0</v>
      </c>
      <c r="I13" s="36">
        <f>VLOOKUP(I8,Data1!F2:I22,4,FALSE)</f>
        <v>0</v>
      </c>
      <c r="K13" s="36">
        <f>VLOOKUP(K8,Data1!F2:I22,4,FALSE)</f>
        <v>0</v>
      </c>
      <c r="L13" s="36"/>
      <c r="M13" s="36">
        <f>VLOOKUP(M8,Data1!F2:I22,4,FALSE)</f>
        <v>0</v>
      </c>
      <c r="N13" s="36"/>
      <c r="O13" s="36">
        <f>VLOOKUP(O8,Data1!F2:I22,4,FALSE)</f>
        <v>0</v>
      </c>
    </row>
    <row r="14" spans="2:15" ht="21.75" customHeight="1" x14ac:dyDescent="0.25">
      <c r="B14" s="78" t="s">
        <v>56</v>
      </c>
      <c r="C14" s="78"/>
      <c r="D14" s="79"/>
      <c r="E14" s="31"/>
      <c r="F14" s="11"/>
      <c r="G14" s="30">
        <f>I14+K14+M14+O14</f>
        <v>0</v>
      </c>
      <c r="H14" s="11"/>
      <c r="I14" s="30">
        <f>IF(AND(E14="Yes", I8&lt;&gt;"not enrolled"), (VLOOKUP(E14,Data1!A25:C26, 2, FALSE)), 0)</f>
        <v>0</v>
      </c>
      <c r="J14" s="11"/>
      <c r="K14" s="30">
        <v>0</v>
      </c>
      <c r="L14" s="30"/>
      <c r="M14" s="30">
        <f>IF(AND(E14="Yes", M8&lt;&gt;"not enrolled"), (VLOOKUP(E14,Data1!A25:C26, 2, FALSE)), 0)</f>
        <v>0</v>
      </c>
      <c r="N14" s="11"/>
      <c r="O14" s="37">
        <v>0</v>
      </c>
    </row>
    <row r="15" spans="2:15" ht="21.75" customHeight="1" x14ac:dyDescent="0.25">
      <c r="B15" s="80" t="s">
        <v>64</v>
      </c>
      <c r="C15" s="80"/>
      <c r="D15" s="80"/>
      <c r="E15" s="60"/>
      <c r="F15" s="7"/>
      <c r="G15" s="32">
        <f>I15+K15+M15+O15</f>
        <v>0</v>
      </c>
      <c r="H15" s="7"/>
      <c r="I15" s="62">
        <f>IF(AND(I8&lt;&gt;"select", I8&lt;&gt;"not enrolled",I8&lt;&gt;"4 credits",I8&lt;&gt;"5 credits",I8&lt;&gt;"6 credits",I8&lt;&gt;"7 credits"), 258, 0)</f>
        <v>0</v>
      </c>
      <c r="J15" s="7"/>
      <c r="K15" s="62">
        <f>IF(AND(K8&lt;&gt;"select", K8&lt;&gt;"not enrolled",K8&lt;&gt;"4 credits",K8&lt;&gt;"5 credits",K8&lt;&gt;"6 credits",K8&lt;&gt;"7 credits"), 258, 0)</f>
        <v>0</v>
      </c>
      <c r="L15" s="32"/>
      <c r="M15" s="62">
        <f>IF(AND(M8&lt;&gt;"select",M8&lt;&gt;"not enrolled",M8&lt;&gt;"4 credits",M8&lt;&gt;"5 credits",M8&lt;&gt;"6 credits",M8&lt;&gt;"7 credits"), 258, 0)</f>
        <v>0</v>
      </c>
      <c r="N15" s="7"/>
      <c r="O15" s="63">
        <f>IF(AND(O8&lt;&gt;"select",O8&lt;&gt;"not enrolled",O8&lt;&gt;"4 credits",O8&lt;&gt;"5 credits",O8&lt;&gt;"6 credits",O8&lt;&gt;"7 credits"), 258, 0)</f>
        <v>0</v>
      </c>
    </row>
    <row r="16" spans="2:15" ht="21.75" customHeight="1" x14ac:dyDescent="0.25">
      <c r="C16" s="8" t="s">
        <v>6</v>
      </c>
      <c r="G16" s="9">
        <f>SUM(G12:G15)</f>
        <v>0</v>
      </c>
      <c r="I16" s="9">
        <f>SUM(I12:I15)</f>
        <v>0</v>
      </c>
      <c r="K16" s="9">
        <f>SUM(K12:K15)</f>
        <v>0</v>
      </c>
      <c r="L16" s="9"/>
      <c r="M16" s="9">
        <f>SUM(M12:M15)</f>
        <v>0</v>
      </c>
      <c r="N16" s="9"/>
      <c r="O16" s="9">
        <f>SUM(O12:O15)</f>
        <v>0</v>
      </c>
    </row>
    <row r="17" spans="1:15" ht="24" customHeight="1" x14ac:dyDescent="0.25"/>
    <row r="18" spans="1:15" ht="15.75" thickBot="1" x14ac:dyDescent="0.3">
      <c r="B18" s="1" t="s">
        <v>11</v>
      </c>
      <c r="C18" s="2"/>
      <c r="D18" s="2"/>
      <c r="E18" s="2"/>
      <c r="F18" s="2"/>
      <c r="G18" s="4" t="s">
        <v>3</v>
      </c>
      <c r="H18" s="3"/>
      <c r="I18" s="4" t="s">
        <v>95</v>
      </c>
      <c r="J18" s="3"/>
      <c r="K18" s="4" t="s">
        <v>96</v>
      </c>
      <c r="L18" s="4"/>
      <c r="M18" s="4" t="s">
        <v>97</v>
      </c>
      <c r="N18" s="4"/>
      <c r="O18" s="4" t="s">
        <v>98</v>
      </c>
    </row>
    <row r="19" spans="1:15" ht="21.75" customHeight="1" x14ac:dyDescent="0.25">
      <c r="B19" t="s">
        <v>16</v>
      </c>
      <c r="G19" s="16"/>
      <c r="I19" s="5">
        <f>IF((AND(I8&lt;&gt;"not enrolled",K8&lt;&gt;"not enrolled",M8&lt;&gt;"not enrolled",O8&lt;&gt;"not enrolled")),(G19/4), IF((AND(I8&lt;&gt;"not enrolled",K8&lt;&gt;"not enrolled",M8&lt;&gt;"not enrolled",O8="not enrolled")),(G19/3), IF((AND(I8&lt;&gt;"not enrolled",K8&lt;&gt;"not enrolled",M8="not enrolled",O8="not enrolled")),(G19/2), IF((AND(I8&lt;&gt;"not enrolled",K8="not enrolled",M8="not enrolled",O8="not enrolled")),(G19/1), 0))))</f>
        <v>0</v>
      </c>
      <c r="K19" s="5">
        <f>IF((AND(I8&lt;&gt;"not enrolled",K8&lt;&gt;"not enrolled",M8&lt;&gt;"not enrolled",O8&lt;&gt;"not enrolled")),(G19/4), IF((AND(I8&lt;&gt;"not enrolled",K8&lt;&gt;"not enrolled",M8&lt;&gt;"not enrolled",O8="not enrolled")),(G19/3), IF((AND(I8="not enrolled",K8&lt;&gt;"not enrolled",M8&lt;&gt;"not enrolled",O8&lt;&gt;"not enrolled")),(G19/3), IF((AND(I8&lt;&gt;"not enrolled",K8&lt;&gt;"not enrolled",M8="not enrolled",O8="not enrolled")),(G19/2), 0))))</f>
        <v>0</v>
      </c>
      <c r="M19" s="5">
        <f>IF((AND(I8&lt;&gt;"not enrolled",K8&lt;&gt;"not enrolled",M8&lt;&gt;"not enrolled",O8&lt;&gt;"not enrolled")),(G19/4), IF((AND(I8&lt;&gt;"not enrolled",K8&lt;&gt;"not enrolled",M8&lt;&gt;"not enrolled",O8="not enrolled")),(G19/3), IF((AND(I8="not enrolled",K8&lt;&gt;"not enrolled",M8&lt;&gt;"not enrolled",O8&lt;&gt;"not enrolled")),(G19/3), IF((AND(I8="not enrolled",K8="not enrolled",M8&lt;&gt;"not enrolled",O8&lt;&gt;"not enrolled")),(G19/2), 0))))</f>
        <v>0</v>
      </c>
      <c r="O19" s="5">
        <f>IF((AND(I8&lt;&gt;"not enrolled",K8&lt;&gt;"not enrolled",M8&lt;&gt;"not enrolled",O8&lt;&gt;"not enrolled")),(G19/4), IF((AND(I8="not enrolled",K8&lt;&gt;"not enrolled",M8&lt;&gt;"not enrolled",O8&lt;&gt;"not enrolled")),(G19/3), IF((AND(I8="not enrolled",K8="not enrolled",M8&lt;&gt;"not enrolled",O8&lt;&gt;"not enrolled")),(G19/2),  IF((AND(I8="not enrolled",K8="not enrolled",M8="not enrolled",O8&lt;&gt;"not enrolled")),(G19), 0))))</f>
        <v>0</v>
      </c>
    </row>
    <row r="20" spans="1:15" ht="21.75" customHeight="1" x14ac:dyDescent="0.25">
      <c r="B20" s="11" t="s">
        <v>8</v>
      </c>
      <c r="C20" s="11"/>
      <c r="D20" s="11"/>
      <c r="E20" s="11"/>
      <c r="F20" s="11"/>
      <c r="G20" s="17"/>
      <c r="H20" s="11"/>
      <c r="I20" s="12">
        <f>IF((AND(I8&lt;&gt;"not enrolled",K8&lt;&gt;"not enrolled",M8&lt;&gt;"not enrolled",O8&lt;&gt;"not enrolled")),(G20/4), IF((AND(I8&lt;&gt;"not enrolled",K8&lt;&gt;"not enrolled",M8&lt;&gt;"not enrolled",O8="not enrolled")),(G20/3), IF((AND(I8&lt;&gt;"not enrolled",K8&lt;&gt;"not enrolled",M8="not enrolled",O8="not enrolled")),(G20/2), IF((AND(I8&lt;&gt;"not enrolled",K8="not enrolled",M8="not enrolled",O8="not enrolled")),(G20/1), 0))))</f>
        <v>0</v>
      </c>
      <c r="J20" s="11"/>
      <c r="K20" s="12">
        <f>IF((AND(I8&lt;&gt;"not enrolled",K8&lt;&gt;"not enrolled",M8&lt;&gt;"not enrolled",O8&lt;&gt;"not enrolled")),(G20/4), IF((AND(I8&lt;&gt;"not enrolled",K8&lt;&gt;"not enrolled",M8&lt;&gt;"not enrolled",O8="not enrolled")),(G20/3), IF((AND(I8="not enrolled",K8&lt;&gt;"not enrolled",M8&lt;&gt;"not enrolled",O8&lt;&gt;"not enrolled")),(G20/3), IF((AND(I8&lt;&gt;"not enrolled",K8&lt;&gt;"not enrolled",M8="not enrolled",O8="not enrolled")),(G20/2), 0))))</f>
        <v>0</v>
      </c>
      <c r="L20" s="12"/>
      <c r="M20" s="12">
        <f>IF((AND(I8&lt;&gt;"not enrolled",K8&lt;&gt;"not enrolled",M8&lt;&gt;"not enrolled",O8&lt;&gt;"not enrolled")),(G20/4), IF((AND(I8&lt;&gt;"not enrolled",K8&lt;&gt;"not enrolled",M8&lt;&gt;"not enrolled",O8="not enrolled")),(G20/3), IF((AND(I8="not enrolled",K8&lt;&gt;"not enrolled",M8&lt;&gt;"not enrolled",O8&lt;&gt;"not enrolled")),(G20/3), IF((AND(I8="not enrolled",K8="not enrolled",M8&lt;&gt;"not enrolled",O8&lt;&gt;"not enrolled")),(G20/2), 0))))</f>
        <v>0</v>
      </c>
      <c r="N20" s="12"/>
      <c r="O20" s="12">
        <f>IF((AND(I8&lt;&gt;"not enrolled",K8&lt;&gt;"not enrolled",M8&lt;&gt;"not enrolled",O8&lt;&gt;"not enrolled")),(G20/4), IF((AND(I8="not enrolled",K8&lt;&gt;"not enrolled",M8&lt;&gt;"not enrolled",O8&lt;&gt;"not enrolled")),(G20/3), IF((AND(I8="not enrolled",K8="not enrolled",M8&lt;&gt;"not enrolled",O8&lt;&gt;"not enrolled")),(G20/2),  IF((AND(I8="not enrolled",K8="not enrolled",M8="not enrolled",O8&lt;&gt;"not enrolled")),(G20), 0))))</f>
        <v>0</v>
      </c>
    </row>
    <row r="21" spans="1:15" ht="21.75" customHeight="1" x14ac:dyDescent="0.25">
      <c r="B21" t="s">
        <v>65</v>
      </c>
      <c r="E21" s="18"/>
      <c r="G21" s="5">
        <f>SUM(I21,K21,M21,O21)</f>
        <v>0</v>
      </c>
      <c r="I21" s="5">
        <f>IF((AND(I8&lt;&gt;"not enrolled",K8&lt;&gt;"not enrolled",M8&lt;&gt;"not enrolled",O8&lt;&gt;"not enrolled")), ROUND(((E21-(E21*0.01057))/4),0), IF((AND(I8&lt;&gt;"not enrolled",K8&lt;&gt;"not enrolled",M8&lt;&gt;"not enrolled",O8="not enrolled")),ROUND(((E21-(E21*0.01057))/3),0), IF((AND(I8&lt;&gt;"not enrolled",K8&lt;&gt;"not enrolled",M8="not enrolled",O8="not enrolled")),ROUND(((E21-(E21*0.01057))/2),0), IF((AND(I8&lt;&gt;"not enrolled",K8="not enrolled",M8="not enrolled",O8="not enrolled")),ROUND(((E21-(E21*0.01057))/1),0), 0))))</f>
        <v>0</v>
      </c>
      <c r="K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IF((AND(I8&lt;&gt;"not enrolled",K8&lt;&gt;"not enrolled",M8="not enrolled",O8="not enrolled")),ROUND(((E21-(E21*0.01057))/2),0), 0))))</f>
        <v>0</v>
      </c>
      <c r="M21" s="5">
        <f>IF((AND(I8&lt;&gt;"not enrolled",K8&lt;&gt;"not enrolled",M8&lt;&gt;"not enrolled",O8&lt;&gt;"not enrolled")),ROUND(((E21-(E21*0.01057))/4),0), IF((AND(I8&lt;&gt;"not enrolled",K8&lt;&gt;"not enrolled",M8&lt;&gt;"not enrolled",O8="not enrolled")),ROUND(((E21-(E21*0.01057))/3),0), IF((AND(I8="not enrolled",K8&lt;&gt;"not enrolled",M8&lt;&gt;"not enrolled",O8&lt;&gt;"not enrolled")),ROUND(((E21-(E21*0.01057))/3),0), IF((AND(I8="not enrolled",K8="not enrolled",M8&lt;&gt;"not enrolled",O8&lt;&gt;"not enrolled")),ROUND(((E21-(E21*0.01057))/2),0), 0))))</f>
        <v>0</v>
      </c>
      <c r="O21" s="5">
        <f>IF((AND(I8&lt;&gt;"not enrolled",K8&lt;&gt;"not enrolled",M8&lt;&gt;"not enrolled",O8&lt;&gt;"not enrolled")),ROUND(((E21-(E21*0.01057))/4),0), IF((AND(I8="not enrolled",K8&lt;&gt;"not enrolled",M8&lt;&gt;"not enrolled",O8&lt;&gt;"not enrolled")),ROUND(((E21-(E21*0.01057))/3),0), IF((AND(I8="not enrolled",K8="not enrolled",M8&lt;&gt;"not enrolled",O8&lt;&gt;"not enrolled")),ROUND(((E21-(E21*0.01057))/2),0),  IF((AND(I8="not enrolled",K8="not enrolled",M8="not enrolled",O8&lt;&gt;"not enrolled")),ROUND(((E21-(E21*0.01057))/1),0), 0))))</f>
        <v>0</v>
      </c>
    </row>
    <row r="22" spans="1:15" ht="21.75" customHeight="1" x14ac:dyDescent="0.25">
      <c r="B22" s="11" t="s">
        <v>66</v>
      </c>
      <c r="C22" s="11"/>
      <c r="D22" s="11"/>
      <c r="E22" s="18"/>
      <c r="F22" s="11"/>
      <c r="G22" s="12">
        <f>SUM(I22,K22,M22,O22)</f>
        <v>0</v>
      </c>
      <c r="H22" s="11"/>
      <c r="I22" s="12">
        <f>IF((AND(I8&lt;&gt;"not enrolled",K8&lt;&gt;"not enrolled",M8&lt;&gt;"not enrolled",O8&lt;&gt;"not enrolled")), ROUND(((E22-(E22*0.01057))/4),0), IF((AND(I8&lt;&gt;"not enrolled",K8&lt;&gt;"not enrolled",M8&lt;&gt;"not enrolled",O8="not enrolled")),ROUND(((E22-(E22*0.01057))/3),0), IF((AND(I8&lt;&gt;"not enrolled",K8&lt;&gt;"not enrolled",M8="not enrolled",O8="not enrolled")),ROUND(((E22-(E22*0.01057))/2),0), IF((AND(I8&lt;&gt;"not enrolled",K8="not enrolled",M8="not enrolled",O8="not enrolled")),ROUND(((E22-(E22*0.01057))/1),0), 0))))</f>
        <v>0</v>
      </c>
      <c r="J22" s="11"/>
      <c r="K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IF((AND(I8&lt;&gt;"not enrolled",K8&lt;&gt;"not enrolled",M8="not enrolled",O8="not enrolled")),ROUND(((E22-(E22*0.01057))/2),0), 0))))</f>
        <v>0</v>
      </c>
      <c r="L22" s="12"/>
      <c r="M22" s="12">
        <f>IF((AND(I8&lt;&gt;"not enrolled",K8&lt;&gt;"not enrolled",M8&lt;&gt;"not enrolled",O8&lt;&gt;"not enrolled")),ROUND(((E22-(E22*0.01057))/4),0), IF((AND(I8&lt;&gt;"not enrolled",K8&lt;&gt;"not enrolled",M8&lt;&gt;"not enrolled",O8="not enrolled")),ROUND(((E22-(E22*0.01057))/3),0), IF((AND(I8="not enrolled",K8&lt;&gt;"not enrolled",M8&lt;&gt;"not enrolled",O8&lt;&gt;"not enrolled")),ROUND(((E22-(E22*0.01057))/3),0), IF((AND(I8="not enrolled",K8="not enrolled",M8&lt;&gt;"not enrolled",O8&lt;&gt;"not enrolled")),ROUND(((E22-(E22*0.01057))/2),0), 0))))</f>
        <v>0</v>
      </c>
      <c r="N22" s="12"/>
      <c r="O22" s="12">
        <f>IF((AND(I8&lt;&gt;"not enrolled",K8&lt;&gt;"not enrolled",M8&lt;&gt;"not enrolled",O8&lt;&gt;"not enrolled")),ROUND(((E22-(E22*0.01057))/4),0), IF((AND(I8="not enrolled",K8&lt;&gt;"not enrolled",M8&lt;&gt;"not enrolled",O8&lt;&gt;"not enrolled")),ROUND(((E22-(E22*0.01057))/3),0), IF((AND(I8="not enrolled",K8="not enrolled",M8&lt;&gt;"not enrolled",O8&lt;&gt;"not enrolled")),ROUND(((E22-(E22*0.01057))/2),0),  IF((AND(I8="not enrolled",K8="not enrolled",M8="not enrolled",O8&lt;&gt;"not enrolled")),ROUND(((E22-(E22*0.01057))/1),0), 0))))</f>
        <v>0</v>
      </c>
    </row>
    <row r="23" spans="1:15" ht="21.75" customHeight="1" x14ac:dyDescent="0.25">
      <c r="B23" t="s">
        <v>9</v>
      </c>
      <c r="G23" s="17"/>
      <c r="I23" s="5">
        <f>IF((AND(I8&lt;&gt;"not enrolled",K8&lt;&gt;"not enrolled",M8&lt;&gt;"not enrolled",O8&lt;&gt;"not enrolled")),(G23/4), IF((AND(I8&lt;&gt;"not enrolled",K8&lt;&gt;"not enrolled",M8&lt;&gt;"not enrolled",O8="not enrolled")),(G23/3), IF((AND(I8&lt;&gt;"not enrolled",K8&lt;&gt;"not enrolled",M8="not enrolled",O8="not enrolled")),(G23/2), IF((AND(I8&lt;&gt;"not enrolled",K8="not enrolled",M8="not enrolled",O8="not enrolled")),(G23/1), 0))))</f>
        <v>0</v>
      </c>
      <c r="K23" s="5">
        <f>IF((AND(I8&lt;&gt;"not enrolled",K8&lt;&gt;"not enrolled",M8&lt;&gt;"not enrolled",O8&lt;&gt;"not enrolled")),(G23/4), IF((AND(I8&lt;&gt;"not enrolled",K8&lt;&gt;"not enrolled",M8&lt;&gt;"not enrolled",O8="not enrolled")),(G23/3), IF((AND(I8="not enrolled",K8&lt;&gt;"not enrolled",M8&lt;&gt;"not enrolled",O8&lt;&gt;"not enrolled")),(G23/3), IF((AND(I8&lt;&gt;"not enrolled",K8&lt;&gt;"not enrolled",M8="not enrolled",O8="not enrolled")),(G23/2), 0))))</f>
        <v>0</v>
      </c>
      <c r="M23" s="5">
        <f>IF((AND(I8&lt;&gt;"not enrolled",K8&lt;&gt;"not enrolled",M8&lt;&gt;"not enrolled",O8&lt;&gt;"not enrolled")),(G23/4), IF((AND(I8&lt;&gt;"not enrolled",K8&lt;&gt;"not enrolled",M8&lt;&gt;"not enrolled",O8="not enrolled")),(G23/3), IF((AND(I8="not enrolled",K8&lt;&gt;"not enrolled",M8&lt;&gt;"not enrolled",O8&lt;&gt;"not enrolled")),(G23/3), IF((AND(I8="not enrolled",K8="not enrolled",M8&lt;&gt;"not enrolled",O8&lt;&gt;"not enrolled")),(G23/2), 0))))</f>
        <v>0</v>
      </c>
      <c r="O23" s="5">
        <f>IF((AND(I8&lt;&gt;"not enrolled",K8&lt;&gt;"not enrolled",M8&lt;&gt;"not enrolled",O8&lt;&gt;"not enrolled")),(G23/4), IF((AND(I8="not enrolled",K8&lt;&gt;"not enrolled",M8&lt;&gt;"not enrolled",O8&lt;&gt;"not enrolled")),(G23/3), IF((AND(I8="not enrolled",K8="not enrolled",M8&lt;&gt;"not enrolled",O8&lt;&gt;"not enrolled")),(G23/2),  IF((AND(I8="not enrolled",K8="not enrolled",M8="not enrolled",O8&lt;&gt;"not enrolled")),(G23), 0))))</f>
        <v>0</v>
      </c>
    </row>
    <row r="24" spans="1:15" ht="21.75" customHeight="1" x14ac:dyDescent="0.25">
      <c r="B24" s="77" t="s">
        <v>23</v>
      </c>
      <c r="C24" s="77"/>
      <c r="D24" s="77"/>
      <c r="E24" s="77"/>
      <c r="F24" s="77"/>
      <c r="G24" s="28">
        <f>I24+K24+M24+O24</f>
        <v>0</v>
      </c>
      <c r="H24" s="27"/>
      <c r="I24" s="19"/>
      <c r="J24" s="27"/>
      <c r="K24" s="19"/>
      <c r="L24" s="33"/>
      <c r="M24" s="19"/>
      <c r="N24" s="33"/>
      <c r="O24" s="19"/>
    </row>
    <row r="25" spans="1:15" ht="21.75" customHeight="1" x14ac:dyDescent="0.25">
      <c r="C25" s="8" t="s">
        <v>10</v>
      </c>
      <c r="G25" s="5">
        <f>SUM(G19:G24)</f>
        <v>0</v>
      </c>
      <c r="I25" s="5">
        <f>SUM(I19:I24)</f>
        <v>0</v>
      </c>
      <c r="K25" s="5">
        <f>SUM(K19:K24)</f>
        <v>0</v>
      </c>
      <c r="M25" s="5">
        <f>SUM(M19:M24)</f>
        <v>0</v>
      </c>
      <c r="O25" s="5">
        <f>SUM(O19:O24)</f>
        <v>0</v>
      </c>
    </row>
    <row r="26" spans="1:15" ht="15.75" thickBot="1" x14ac:dyDescent="0.3"/>
    <row r="27" spans="1:15" ht="21.75" customHeight="1" thickTop="1" thickBot="1" x14ac:dyDescent="0.35">
      <c r="B27" s="15" t="s">
        <v>12</v>
      </c>
      <c r="C27" s="14"/>
      <c r="D27" s="14"/>
      <c r="E27" s="14"/>
      <c r="F27" s="14"/>
      <c r="G27" s="25">
        <f>G16-G25</f>
        <v>0</v>
      </c>
      <c r="H27" s="26"/>
      <c r="I27" s="25">
        <f>I16-I25</f>
        <v>0</v>
      </c>
      <c r="J27" s="26"/>
      <c r="K27" s="25">
        <f>K16-K25</f>
        <v>0</v>
      </c>
      <c r="L27" s="25"/>
      <c r="M27" s="25">
        <f>M16-M25</f>
        <v>0</v>
      </c>
      <c r="N27" s="25"/>
      <c r="O27" s="25">
        <f>O16-O25</f>
        <v>0</v>
      </c>
    </row>
    <row r="28" spans="1:15" ht="15.75" thickTop="1" x14ac:dyDescent="0.25"/>
    <row r="29" spans="1:15" x14ac:dyDescent="0.25">
      <c r="B29" s="8" t="s">
        <v>13</v>
      </c>
    </row>
    <row r="30" spans="1:15" ht="21.75" customHeight="1" x14ac:dyDescent="0.25">
      <c r="A30" s="51">
        <v>1</v>
      </c>
      <c r="B30" s="72" t="str">
        <f>IF((OR(G5="2023 Fall or 2024 Spring Quarter")),Data1!P11, IF((OR(G5="2024 Fall or 2025 Spring Quarter")), Data1!P12, "Please choose a starting term for your cohort above."))</f>
        <v>Please choose a starting term for your cohort above.</v>
      </c>
      <c r="C30" s="72"/>
      <c r="D30" s="72"/>
      <c r="E30" s="72"/>
      <c r="F30" s="72"/>
      <c r="G30" s="72"/>
      <c r="H30" s="72"/>
      <c r="I30" s="72"/>
      <c r="J30" s="72"/>
      <c r="K30" s="72"/>
      <c r="L30" s="72"/>
      <c r="M30" s="72"/>
      <c r="N30" s="72"/>
      <c r="O30" s="72"/>
    </row>
    <row r="31" spans="1:15" ht="19.5" customHeight="1" x14ac:dyDescent="0.25">
      <c r="A31" s="51">
        <v>2</v>
      </c>
      <c r="B31" s="71" t="s">
        <v>102</v>
      </c>
      <c r="C31" s="71"/>
      <c r="D31" s="71"/>
      <c r="E31" s="71"/>
      <c r="F31" s="71"/>
      <c r="G31" s="71"/>
      <c r="H31" s="71"/>
      <c r="I31" s="71"/>
      <c r="J31" s="71"/>
      <c r="K31" s="71"/>
      <c r="L31" s="71"/>
      <c r="M31" s="71"/>
      <c r="N31" s="71"/>
      <c r="O31" s="71"/>
    </row>
    <row r="32" spans="1:15" ht="32.25" customHeight="1" x14ac:dyDescent="0.25">
      <c r="A32" s="61">
        <v>3</v>
      </c>
      <c r="B32" s="72" t="s">
        <v>106</v>
      </c>
      <c r="C32" s="72"/>
      <c r="D32" s="72"/>
      <c r="E32" s="72"/>
      <c r="F32" s="72"/>
      <c r="G32" s="72"/>
      <c r="H32" s="72"/>
      <c r="I32" s="72"/>
      <c r="J32" s="72"/>
      <c r="K32" s="72"/>
      <c r="L32" s="72"/>
      <c r="M32" s="72"/>
      <c r="N32" s="72"/>
      <c r="O32" s="35"/>
    </row>
    <row r="33" spans="1:15" ht="33" customHeight="1" x14ac:dyDescent="0.25">
      <c r="A33" s="61">
        <v>4</v>
      </c>
      <c r="B33" s="72" t="s">
        <v>73</v>
      </c>
      <c r="C33" s="72"/>
      <c r="D33" s="72"/>
      <c r="E33" s="72"/>
      <c r="F33" s="72"/>
      <c r="G33" s="72"/>
      <c r="H33" s="72"/>
      <c r="I33" s="72"/>
      <c r="J33" s="72"/>
      <c r="K33" s="72"/>
      <c r="L33" s="72"/>
      <c r="M33" s="72"/>
      <c r="N33" s="72"/>
      <c r="O33" s="72"/>
    </row>
    <row r="34" spans="1:15" ht="61.5" customHeight="1" x14ac:dyDescent="0.25">
      <c r="A34" s="61">
        <v>5</v>
      </c>
      <c r="B34" s="72" t="s">
        <v>117</v>
      </c>
      <c r="C34" s="72"/>
      <c r="D34" s="72"/>
      <c r="E34" s="72"/>
      <c r="F34" s="72"/>
      <c r="G34" s="72"/>
      <c r="H34" s="72"/>
      <c r="I34" s="72"/>
      <c r="J34" s="72"/>
      <c r="K34" s="72"/>
      <c r="L34" s="72"/>
      <c r="M34" s="72"/>
      <c r="N34" s="72"/>
      <c r="O34" s="72"/>
    </row>
    <row r="35" spans="1:15" ht="21.75" customHeight="1" x14ac:dyDescent="0.25"/>
    <row r="37" spans="1:15" x14ac:dyDescent="0.25">
      <c r="B37" s="67" t="s">
        <v>14</v>
      </c>
      <c r="C37" s="67"/>
      <c r="D37" s="67"/>
      <c r="E37" s="67"/>
      <c r="F37" s="67"/>
      <c r="G37" s="67"/>
      <c r="H37" s="67"/>
      <c r="I37" s="67"/>
      <c r="J37" s="67"/>
      <c r="K37" s="67"/>
      <c r="L37" s="67"/>
      <c r="M37" s="67"/>
      <c r="N37" s="67"/>
      <c r="O37" s="67"/>
    </row>
  </sheetData>
  <sheetProtection algorithmName="SHA-512" hashValue="CR4heBihr+TlNmfGOL6yk1vHg5Ax+wQbOXTQO24eeinPa42ME7Nm+O3P4DOnenhVEQtGieiqYySTcKgzn81sWA==" saltValue="CoJwUpWB6zQt8JZYuI5YFA==" spinCount="100000" sheet="1" selectLockedCells="1"/>
  <mergeCells count="12">
    <mergeCell ref="G2:O2"/>
    <mergeCell ref="B31:O31"/>
    <mergeCell ref="B34:O34"/>
    <mergeCell ref="B37:O37"/>
    <mergeCell ref="C12:D12"/>
    <mergeCell ref="B24:F24"/>
    <mergeCell ref="B30:O30"/>
    <mergeCell ref="B14:D14"/>
    <mergeCell ref="B15:D15"/>
    <mergeCell ref="B33:O33"/>
    <mergeCell ref="G5:I5"/>
    <mergeCell ref="B32:N32"/>
  </mergeCells>
  <phoneticPr fontId="19" type="noConversion"/>
  <hyperlinks>
    <hyperlink ref="B14" r:id="rId1" display="Will you enroll in DU's health insurance plan?" xr:uid="{00000000-0004-0000-0500-000000000000}"/>
    <hyperlink ref="B15" r:id="rId2" display="Will you use DU Health &amp; Counseling Services? " xr:uid="{00000000-0004-0000-05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Data1!$F$2:$F$22</xm:f>
          </x14:formula1>
          <xm:sqref>O8 I8 K8 M8</xm:sqref>
        </x14:dataValidation>
        <x14:dataValidation type="list" allowBlank="1" showInputMessage="1" showErrorMessage="1" xr:uid="{00000000-0002-0000-0500-000001000000}">
          <x14:formula1>
            <xm:f>Data1!$A$25:$A$26</xm:f>
          </x14:formula1>
          <xm:sqref>E14</xm:sqref>
        </x14:dataValidation>
        <x14:dataValidation type="list" allowBlank="1" showInputMessage="1" showErrorMessage="1" xr:uid="{5AFD9E5A-06A5-4EA3-A5F2-68B885EE7B1B}">
          <x14:formula1>
            <xm:f>Data1!$A$36:$A$37</xm:f>
          </x14:formula1>
          <xm:sqref>G5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O32"/>
  <sheetViews>
    <sheetView showGridLines="0" showRowColHeaders="0" showRuler="0" zoomScaleNormal="100" workbookViewId="0">
      <selection activeCell="G4" sqref="G4:I4"/>
    </sheetView>
  </sheetViews>
  <sheetFormatPr defaultColWidth="8.85546875" defaultRowHeight="15" x14ac:dyDescent="0.25"/>
  <cols>
    <col min="1" max="1" width="4.140625" customWidth="1"/>
    <col min="4" max="4" width="14" customWidth="1"/>
    <col min="5" max="5" width="13.85546875" customWidth="1"/>
    <col min="6" max="6" width="12.140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8" t="s">
        <v>119</v>
      </c>
      <c r="H2" s="68"/>
      <c r="I2" s="68"/>
      <c r="J2" s="68"/>
      <c r="K2" s="68"/>
      <c r="L2" s="68"/>
      <c r="M2" s="68"/>
      <c r="N2" s="68"/>
      <c r="O2" s="68"/>
    </row>
    <row r="3" spans="2:15" ht="8.25" customHeight="1" x14ac:dyDescent="0.25">
      <c r="B3" s="20"/>
      <c r="C3" s="20"/>
      <c r="D3" s="20"/>
      <c r="E3" s="20"/>
      <c r="F3" s="20"/>
      <c r="G3" s="21"/>
      <c r="H3" s="22"/>
      <c r="I3" s="22"/>
      <c r="J3" s="22"/>
      <c r="K3" s="22"/>
      <c r="L3" s="22"/>
      <c r="M3" s="22"/>
      <c r="N3" s="22"/>
      <c r="O3" s="22"/>
    </row>
    <row r="4" spans="2:15" ht="21" customHeight="1" x14ac:dyDescent="0.3">
      <c r="C4" s="6" t="s">
        <v>20</v>
      </c>
      <c r="G4" s="83" t="s">
        <v>101</v>
      </c>
      <c r="H4" s="84"/>
      <c r="I4" s="85"/>
    </row>
    <row r="5" spans="2:15" ht="15" customHeight="1" x14ac:dyDescent="0.25">
      <c r="I5" s="57" t="s">
        <v>91</v>
      </c>
      <c r="K5" s="57" t="s">
        <v>92</v>
      </c>
      <c r="L5" s="34"/>
      <c r="M5" s="57" t="s">
        <v>93</v>
      </c>
      <c r="N5" s="34"/>
      <c r="O5" s="57" t="s">
        <v>94</v>
      </c>
    </row>
    <row r="6" spans="2:15" ht="18" customHeight="1" x14ac:dyDescent="0.3">
      <c r="C6" s="6" t="s">
        <v>44</v>
      </c>
      <c r="E6" s="29"/>
      <c r="F6" s="29"/>
      <c r="G6" s="29"/>
      <c r="H6" s="29"/>
      <c r="I6" s="54" t="s">
        <v>63</v>
      </c>
      <c r="K6" s="55" t="s">
        <v>63</v>
      </c>
      <c r="L6"/>
      <c r="M6" s="56" t="s">
        <v>63</v>
      </c>
      <c r="N6"/>
      <c r="O6" s="56" t="s">
        <v>63</v>
      </c>
    </row>
    <row r="7" spans="2:15" ht="18.75" customHeight="1" x14ac:dyDescent="0.25"/>
    <row r="8" spans="2:15" ht="15.75" thickBot="1" x14ac:dyDescent="0.3">
      <c r="B8" s="1" t="s">
        <v>7</v>
      </c>
      <c r="C8" s="2"/>
      <c r="D8" s="2"/>
      <c r="E8" s="2"/>
      <c r="F8" s="2"/>
      <c r="G8" s="4" t="s">
        <v>3</v>
      </c>
      <c r="H8" s="3"/>
      <c r="I8" s="4" t="s">
        <v>95</v>
      </c>
      <c r="J8" s="3"/>
      <c r="K8" s="4" t="s">
        <v>96</v>
      </c>
      <c r="L8" s="4"/>
      <c r="M8" s="4" t="s">
        <v>97</v>
      </c>
      <c r="N8" s="4"/>
      <c r="O8" s="4" t="s">
        <v>98</v>
      </c>
    </row>
    <row r="9" spans="2:15" ht="9" customHeight="1" x14ac:dyDescent="0.25"/>
    <row r="10" spans="2:15" ht="21.75" customHeight="1" x14ac:dyDescent="0.25">
      <c r="B10" s="10" t="s">
        <v>1</v>
      </c>
      <c r="C10" s="76"/>
      <c r="D10" s="76"/>
      <c r="E10" s="11"/>
      <c r="F10" s="11"/>
      <c r="G10" s="12">
        <f>I10+K10+M10+O10</f>
        <v>0</v>
      </c>
      <c r="H10" s="11"/>
      <c r="I10" s="12">
        <f>IF((OR(G4="2026 Fall Quarter")), (VLOOKUP(I6,Data1!E25:F43, 2, FALSE)), IF((OR(G4="2025 Fall Quarter")), (VLOOKUP(I6, Data1!E25:N43, 10, FALSE)), 0))</f>
        <v>0</v>
      </c>
      <c r="J10" s="11"/>
      <c r="K10" s="12">
        <f>IF((OR(G4="2026 Fall Quarter")), (VLOOKUP(K6,Data1!E25:N43, 2, FALSE)), IF((OR(G4="2025 Fall Quarter")), (VLOOKUP(K6, Data1!E25:N43, 10, FALSE)), 0))</f>
        <v>0</v>
      </c>
      <c r="L10" s="12"/>
      <c r="M10" s="12">
        <f>IF((OR(G4="2026 Fall Quarter")), (VLOOKUP(M6,Data1!E25:F43, 2, FALSE)), IF((OR(G4="2025 Fall Quarter")), (VLOOKUP(M6, Data1!E25:N43, 10, FALSE)), 0))</f>
        <v>0</v>
      </c>
      <c r="N10" s="12"/>
      <c r="O10" s="12">
        <f>IF((OR(G4="2026 Fall Quarter")), (VLOOKUP(O6,Data1!E25:F43, 2, FALSE)), IF((OR(G4="2025 Fall Quarter")), (VLOOKUP(O6, Data1!E25:N43, 10, FALSE)), 0))</f>
        <v>0</v>
      </c>
    </row>
    <row r="11" spans="2:15" ht="21.75" customHeight="1" x14ac:dyDescent="0.25">
      <c r="B11" s="35" t="s">
        <v>2</v>
      </c>
      <c r="G11" s="36">
        <f>I11+K11+M11+O11</f>
        <v>0</v>
      </c>
      <c r="I11" s="36">
        <f>VLOOKUP(I6,Data1!K25:M43,3,FALSE)</f>
        <v>0</v>
      </c>
      <c r="K11" s="36">
        <f>VLOOKUP(K6,Data1!K25:M43,3,FALSE)</f>
        <v>0</v>
      </c>
      <c r="L11" s="36"/>
      <c r="M11" s="36">
        <f>VLOOKUP(M6,Data1!K25:M43,3,FALSE)</f>
        <v>0</v>
      </c>
      <c r="N11" s="36"/>
      <c r="O11" s="36">
        <f>VLOOKUP(O6,Data1!K25:M43,3,FALSE)</f>
        <v>0</v>
      </c>
    </row>
    <row r="12" spans="2:15" ht="21.75" customHeight="1" x14ac:dyDescent="0.25">
      <c r="B12" s="20"/>
      <c r="C12" s="40" t="s">
        <v>6</v>
      </c>
      <c r="D12" s="20"/>
      <c r="E12" s="20"/>
      <c r="F12" s="20"/>
      <c r="G12" s="41">
        <f>SUM(G10:G11)</f>
        <v>0</v>
      </c>
      <c r="H12" s="20"/>
      <c r="I12" s="41">
        <f>SUM(I10:I11)</f>
        <v>0</v>
      </c>
      <c r="J12" s="20"/>
      <c r="K12" s="41">
        <f>SUM(K10:K11)</f>
        <v>0</v>
      </c>
      <c r="L12" s="41"/>
      <c r="M12" s="41">
        <f>SUM(M10:M11)</f>
        <v>0</v>
      </c>
      <c r="N12" s="41"/>
      <c r="O12" s="41">
        <f>SUM(O10:O11)</f>
        <v>0</v>
      </c>
    </row>
    <row r="13" spans="2:15" ht="24" customHeight="1" x14ac:dyDescent="0.25"/>
    <row r="14" spans="2:15" ht="15.75" thickBot="1" x14ac:dyDescent="0.3">
      <c r="B14" s="1" t="s">
        <v>11</v>
      </c>
      <c r="C14" s="2"/>
      <c r="D14" s="2"/>
      <c r="E14" s="2"/>
      <c r="F14" s="2"/>
      <c r="G14" s="4" t="s">
        <v>3</v>
      </c>
      <c r="H14" s="3"/>
      <c r="I14" s="4" t="s">
        <v>95</v>
      </c>
      <c r="J14" s="3"/>
      <c r="K14" s="4" t="s">
        <v>96</v>
      </c>
      <c r="L14" s="4"/>
      <c r="M14" s="4" t="s">
        <v>97</v>
      </c>
      <c r="N14" s="4"/>
      <c r="O14" s="4" t="s">
        <v>98</v>
      </c>
    </row>
    <row r="15" spans="2:15" ht="21.75" customHeight="1" x14ac:dyDescent="0.25">
      <c r="B15" t="s">
        <v>16</v>
      </c>
      <c r="G15" s="16"/>
      <c r="I15" s="5">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5">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M15" s="5">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O15" s="5">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15" ht="21.75" customHeight="1" x14ac:dyDescent="0.25">
      <c r="B16" s="11" t="s">
        <v>8</v>
      </c>
      <c r="C16" s="11"/>
      <c r="D16" s="11"/>
      <c r="E16" s="11"/>
      <c r="F16" s="11"/>
      <c r="G16" s="17"/>
      <c r="H16" s="11"/>
      <c r="I16" s="12">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11"/>
      <c r="K16" s="12">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12"/>
      <c r="M16" s="12">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12"/>
      <c r="O16" s="12">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15" ht="21.75" customHeight="1" x14ac:dyDescent="0.25">
      <c r="B17" t="s">
        <v>18</v>
      </c>
      <c r="E17" s="18"/>
      <c r="G17" s="5">
        <f>SUM(I17,K17,M17,O17)</f>
        <v>0</v>
      </c>
      <c r="I17" s="5">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M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O17" s="5">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row>
    <row r="18" spans="2:15" ht="21.75" customHeight="1" x14ac:dyDescent="0.25">
      <c r="B18" s="11" t="s">
        <v>19</v>
      </c>
      <c r="C18" s="11"/>
      <c r="D18" s="11"/>
      <c r="E18" s="18"/>
      <c r="F18" s="11"/>
      <c r="G18" s="12">
        <f>SUM(I18,K18,M18,O18)</f>
        <v>0</v>
      </c>
      <c r="H18" s="11"/>
      <c r="I18" s="12">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11"/>
      <c r="K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12"/>
      <c r="M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12"/>
      <c r="O18" s="12">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row>
    <row r="19" spans="2:15" ht="21.75" customHeight="1" x14ac:dyDescent="0.25">
      <c r="B19" t="s">
        <v>9</v>
      </c>
      <c r="G19" s="17"/>
      <c r="I19" s="5">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5">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M19" s="5">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O19" s="5">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15" ht="21.75" customHeight="1" x14ac:dyDescent="0.25">
      <c r="B20" s="77" t="s">
        <v>23</v>
      </c>
      <c r="C20" s="77"/>
      <c r="D20" s="77"/>
      <c r="E20" s="77"/>
      <c r="F20" s="77"/>
      <c r="G20" s="28">
        <f>I20+K20+M20+O20</f>
        <v>0</v>
      </c>
      <c r="H20" s="27"/>
      <c r="I20" s="19"/>
      <c r="J20" s="27"/>
      <c r="K20" s="19"/>
      <c r="L20" s="33"/>
      <c r="M20" s="19"/>
      <c r="N20" s="33"/>
      <c r="O20" s="19"/>
    </row>
    <row r="21" spans="2:15" ht="21.75" customHeight="1" x14ac:dyDescent="0.25">
      <c r="C21" s="8" t="s">
        <v>10</v>
      </c>
      <c r="G21" s="5">
        <f>SUM(G15:G20)</f>
        <v>0</v>
      </c>
      <c r="I21" s="5">
        <f>SUM(I15:I20)</f>
        <v>0</v>
      </c>
      <c r="K21" s="5">
        <f>SUM(K15:K20)</f>
        <v>0</v>
      </c>
      <c r="M21" s="5">
        <f>SUM(M15:M20)</f>
        <v>0</v>
      </c>
      <c r="O21" s="5">
        <f>SUM(O15:O20)</f>
        <v>0</v>
      </c>
    </row>
    <row r="22" spans="2:15" ht="15.75" thickBot="1" x14ac:dyDescent="0.3"/>
    <row r="23" spans="2:15" ht="21.75" customHeight="1" thickTop="1" thickBot="1" x14ac:dyDescent="0.35">
      <c r="B23" s="15" t="s">
        <v>12</v>
      </c>
      <c r="C23" s="14"/>
      <c r="D23" s="14"/>
      <c r="E23" s="14"/>
      <c r="F23" s="14"/>
      <c r="G23" s="25">
        <f>G12-G21</f>
        <v>0</v>
      </c>
      <c r="H23" s="26"/>
      <c r="I23" s="25">
        <f>I12-I21</f>
        <v>0</v>
      </c>
      <c r="J23" s="26"/>
      <c r="K23" s="25">
        <f>K12-K21</f>
        <v>0</v>
      </c>
      <c r="L23" s="25"/>
      <c r="M23" s="25">
        <f>M12-M21</f>
        <v>0</v>
      </c>
      <c r="N23" s="25"/>
      <c r="O23" s="25">
        <f>O12-O21</f>
        <v>0</v>
      </c>
    </row>
    <row r="24" spans="2:15" ht="15.75" thickTop="1" x14ac:dyDescent="0.25"/>
    <row r="25" spans="2:15" x14ac:dyDescent="0.25">
      <c r="B25" s="8" t="s">
        <v>13</v>
      </c>
    </row>
    <row r="26" spans="2:15" ht="18" customHeight="1" x14ac:dyDescent="0.25">
      <c r="B26" s="74" t="s">
        <v>112</v>
      </c>
      <c r="C26" s="72"/>
      <c r="D26" s="72"/>
      <c r="E26" s="72"/>
      <c r="F26" s="72"/>
      <c r="G26" s="72"/>
      <c r="H26" s="72"/>
      <c r="I26" s="72"/>
      <c r="J26" s="72"/>
      <c r="K26" s="72"/>
      <c r="L26" s="72"/>
      <c r="M26" s="72"/>
      <c r="N26" s="72"/>
      <c r="O26" s="72"/>
    </row>
    <row r="27" spans="2:15" ht="19.899999999999999" customHeight="1" x14ac:dyDescent="0.25">
      <c r="B27" s="71" t="s">
        <v>109</v>
      </c>
      <c r="C27" s="71"/>
      <c r="D27" s="71"/>
      <c r="E27" s="71"/>
      <c r="F27" s="71"/>
      <c r="G27" s="71"/>
      <c r="H27" s="71"/>
      <c r="I27" s="71"/>
      <c r="J27" s="71"/>
      <c r="K27" s="71"/>
      <c r="L27" s="71"/>
      <c r="M27" s="71"/>
      <c r="N27" s="71"/>
      <c r="O27" s="71"/>
    </row>
    <row r="28" spans="2:15" ht="31.15" customHeight="1" x14ac:dyDescent="0.25">
      <c r="B28" s="72" t="s">
        <v>76</v>
      </c>
      <c r="C28" s="72"/>
      <c r="D28" s="72"/>
      <c r="E28" s="72"/>
      <c r="F28" s="72"/>
      <c r="G28" s="72"/>
      <c r="H28" s="72"/>
      <c r="I28" s="72"/>
      <c r="J28" s="72"/>
      <c r="K28" s="72"/>
      <c r="L28" s="72"/>
      <c r="M28" s="72"/>
      <c r="N28" s="72"/>
      <c r="O28" s="72"/>
    </row>
    <row r="29" spans="2:15" ht="63" customHeight="1" x14ac:dyDescent="0.25">
      <c r="B29" s="72" t="s">
        <v>120</v>
      </c>
      <c r="C29" s="72"/>
      <c r="D29" s="72"/>
      <c r="E29" s="72"/>
      <c r="F29" s="72"/>
      <c r="G29" s="72"/>
      <c r="H29" s="72"/>
      <c r="I29" s="72"/>
      <c r="J29" s="72"/>
      <c r="K29" s="72"/>
      <c r="L29" s="72"/>
      <c r="M29" s="72"/>
      <c r="N29" s="72"/>
      <c r="O29" s="72"/>
    </row>
    <row r="30" spans="2:15" ht="21.75" customHeight="1" x14ac:dyDescent="0.25"/>
    <row r="32" spans="2:15" x14ac:dyDescent="0.25">
      <c r="B32" s="67" t="s">
        <v>14</v>
      </c>
      <c r="C32" s="67"/>
      <c r="D32" s="67"/>
      <c r="E32" s="67"/>
      <c r="F32" s="67"/>
      <c r="G32" s="67"/>
      <c r="H32" s="67"/>
      <c r="I32" s="67"/>
      <c r="J32" s="67"/>
      <c r="K32" s="67"/>
      <c r="L32" s="67"/>
      <c r="M32" s="67"/>
      <c r="N32" s="67"/>
      <c r="O32" s="67"/>
    </row>
  </sheetData>
  <sheetProtection algorithmName="SHA-512" hashValue="6Xl8XQiSXNamK3TkJKkvs+2bxoZITBGdlxxTUZaUPF7j8Use8vxulv3A9+xs4TgESQVQ3OKZ9zCBVIa2l0UpbQ==" saltValue="E0KzkQh2+ZqNz+g/85cYVw==" spinCount="100000" sheet="1" selectLockedCells="1"/>
  <mergeCells count="9">
    <mergeCell ref="B29:O29"/>
    <mergeCell ref="B32:O32"/>
    <mergeCell ref="G2:O2"/>
    <mergeCell ref="C10:D10"/>
    <mergeCell ref="B20:F20"/>
    <mergeCell ref="B26:O26"/>
    <mergeCell ref="B27:O27"/>
    <mergeCell ref="B28:O28"/>
    <mergeCell ref="G4:I4"/>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Data1!$K$25:$K$43</xm:f>
          </x14:formula1>
          <xm:sqref>O6 I6 K6 M6</xm:sqref>
        </x14:dataValidation>
        <x14:dataValidation type="list" allowBlank="1" showInputMessage="1" showErrorMessage="1" xr:uid="{3A1E7FFF-A17D-4B18-A128-8032DD5859FA}">
          <x14:formula1>
            <xm:f>Data1!$A$33:$A$34</xm:f>
          </x14:formula1>
          <xm:sqref>G4:I4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EC3C-FC48-4BCA-9DF5-C8F5E0B24EB5}">
  <sheetPr>
    <pageSetUpPr fitToPage="1"/>
  </sheetPr>
  <dimension ref="A1:O40"/>
  <sheetViews>
    <sheetView showGridLines="0" showRowColHeaders="0" showRuler="0" zoomScaleNormal="100" workbookViewId="0">
      <selection activeCell="F5" sqref="F5:H5"/>
    </sheetView>
  </sheetViews>
  <sheetFormatPr defaultColWidth="8.85546875" defaultRowHeight="15" x14ac:dyDescent="0.25"/>
  <cols>
    <col min="1" max="1" width="4.140625" customWidth="1"/>
    <col min="4" max="4" width="26.140625" customWidth="1"/>
    <col min="5" max="5" width="11.42578125" bestFit="1" customWidth="1"/>
    <col min="7" max="7" width="13.140625" style="5" customWidth="1"/>
    <col min="8" max="8" width="4.7109375" customWidth="1"/>
    <col min="9" max="9" width="13.42578125" style="5" customWidth="1"/>
    <col min="10" max="10" width="4.7109375" customWidth="1"/>
    <col min="11" max="11" width="13.42578125" style="5" customWidth="1"/>
    <col min="12" max="12" width="4.7109375" style="5" customWidth="1"/>
    <col min="13" max="13" width="13.42578125" style="5" customWidth="1"/>
    <col min="14" max="14" width="3.42578125" customWidth="1"/>
  </cols>
  <sheetData>
    <row r="1" spans="2:14" ht="17.25" customHeight="1" x14ac:dyDescent="0.25"/>
    <row r="2" spans="2:14" ht="47.25" customHeight="1" x14ac:dyDescent="0.25">
      <c r="F2" s="73" t="s">
        <v>107</v>
      </c>
      <c r="G2" s="73"/>
      <c r="H2" s="73"/>
      <c r="I2" s="73"/>
      <c r="J2" s="73"/>
      <c r="K2" s="73"/>
      <c r="L2" s="73"/>
      <c r="M2" s="73"/>
      <c r="N2" s="73"/>
    </row>
    <row r="3" spans="2:14" ht="8.25" customHeight="1" x14ac:dyDescent="0.25">
      <c r="B3" s="20"/>
      <c r="C3" s="20"/>
      <c r="D3" s="20"/>
      <c r="E3" s="20"/>
      <c r="F3" s="20"/>
      <c r="G3" s="21"/>
      <c r="H3" s="22"/>
      <c r="I3" s="22"/>
      <c r="J3" s="22"/>
      <c r="K3" s="22"/>
      <c r="L3" s="22"/>
      <c r="M3" s="22"/>
      <c r="N3" s="22"/>
    </row>
    <row r="4" spans="2:14" ht="8.25" customHeight="1" x14ac:dyDescent="0.25">
      <c r="G4" s="58"/>
      <c r="H4" s="59"/>
      <c r="I4" s="59"/>
      <c r="J4" s="59"/>
      <c r="K4" s="59"/>
      <c r="L4" s="59"/>
      <c r="M4" s="59"/>
      <c r="N4" s="59"/>
    </row>
    <row r="5" spans="2:14" ht="21" x14ac:dyDescent="0.3">
      <c r="B5" s="6" t="s">
        <v>20</v>
      </c>
      <c r="D5" s="29"/>
      <c r="E5" s="29"/>
      <c r="F5" s="83" t="s">
        <v>101</v>
      </c>
      <c r="G5" s="84"/>
      <c r="H5" s="85"/>
      <c r="I5" s="59"/>
      <c r="J5" s="59"/>
      <c r="K5" s="59"/>
      <c r="L5" s="59"/>
      <c r="M5" s="59"/>
      <c r="N5" s="59"/>
    </row>
    <row r="6" spans="2:14" ht="8.25" customHeight="1" x14ac:dyDescent="0.25">
      <c r="G6" s="58"/>
      <c r="H6" s="59"/>
      <c r="I6" s="59"/>
      <c r="J6" s="59"/>
      <c r="K6" s="59"/>
      <c r="L6" s="59"/>
      <c r="M6" s="59"/>
      <c r="N6" s="59"/>
    </row>
    <row r="7" spans="2:14" ht="12" customHeight="1" x14ac:dyDescent="0.25">
      <c r="B7" s="75"/>
      <c r="C7" s="75"/>
      <c r="D7" s="75"/>
      <c r="E7" s="75"/>
      <c r="F7" s="75"/>
      <c r="G7" s="75"/>
      <c r="H7" s="75"/>
      <c r="I7" s="75"/>
      <c r="J7" s="75"/>
      <c r="K7" s="75"/>
      <c r="L7" s="75"/>
      <c r="M7" s="75"/>
      <c r="N7" s="75"/>
    </row>
    <row r="8" spans="2:14" ht="19.5" customHeight="1" x14ac:dyDescent="0.25">
      <c r="I8" s="46" t="s">
        <v>91</v>
      </c>
      <c r="K8" s="46" t="s">
        <v>92</v>
      </c>
      <c r="M8" s="46" t="s">
        <v>93</v>
      </c>
    </row>
    <row r="9" spans="2:14" ht="18" customHeight="1" x14ac:dyDescent="0.3">
      <c r="C9" s="6" t="s">
        <v>15</v>
      </c>
      <c r="D9" s="29"/>
      <c r="E9" s="29"/>
      <c r="F9" s="29"/>
      <c r="G9" s="29"/>
      <c r="H9" s="29"/>
      <c r="I9" s="45" t="s">
        <v>63</v>
      </c>
      <c r="K9" s="45" t="s">
        <v>63</v>
      </c>
      <c r="L9" s="23"/>
      <c r="M9" s="45" t="s">
        <v>63</v>
      </c>
      <c r="N9" s="29"/>
    </row>
    <row r="10" spans="2:14" ht="6" customHeight="1" x14ac:dyDescent="0.25"/>
    <row r="11" spans="2:14" ht="15.75" thickBot="1" x14ac:dyDescent="0.3">
      <c r="B11" s="1" t="s">
        <v>7</v>
      </c>
      <c r="C11" s="2"/>
      <c r="D11" s="2"/>
      <c r="E11" s="2"/>
      <c r="F11" s="2"/>
      <c r="G11" s="4" t="s">
        <v>3</v>
      </c>
      <c r="H11" s="3"/>
      <c r="I11" s="4" t="s">
        <v>95</v>
      </c>
      <c r="J11" s="3"/>
      <c r="K11" s="4" t="s">
        <v>96</v>
      </c>
      <c r="L11" s="4"/>
      <c r="M11" s="4" t="s">
        <v>97</v>
      </c>
      <c r="N11" s="2"/>
    </row>
    <row r="12" spans="2:14" ht="9" customHeight="1" x14ac:dyDescent="0.25"/>
    <row r="13" spans="2:14" ht="21.75" customHeight="1" x14ac:dyDescent="0.25">
      <c r="B13" s="10" t="s">
        <v>1</v>
      </c>
      <c r="C13" s="76"/>
      <c r="D13" s="76"/>
      <c r="E13" s="11"/>
      <c r="F13" s="11"/>
      <c r="G13" s="12">
        <f>I13+K13+M13</f>
        <v>0</v>
      </c>
      <c r="H13" s="11"/>
      <c r="I13" s="12">
        <f>IF((OR(F5="2026 Fall Quarter")), (VLOOKUP(I9,Data1!E46:H64, 2, FALSE)), IF((OR(F5="2025 Fall Quarter")), (VLOOKUP(I9, Data1!E46:H64, 3, FALSE)), 0))</f>
        <v>0</v>
      </c>
      <c r="J13" s="11"/>
      <c r="K13" s="12">
        <f>IF((OR(F5="2026 Fall Quarter")), (VLOOKUP(K9,Data1!E46:G64, 2, FALSE)), IF((OR(F5="2025 Fall Quarter")), (VLOOKUP(K9, Data1!E46:G64, 3, FALSE)), 0))</f>
        <v>0</v>
      </c>
      <c r="L13" s="12"/>
      <c r="M13" s="12">
        <f>IF((OR(F5="2026 Fall Quarter")), (VLOOKUP(M9,Data1!E46:G64, 2, FALSE)), IF((OR(F5="2025 Fall Quarter")), (VLOOKUP(M9,Data1!E46:G64, 3, FALSE)), 0))</f>
        <v>0</v>
      </c>
      <c r="N13" s="11"/>
    </row>
    <row r="14" spans="2:14" ht="21.75" customHeight="1" x14ac:dyDescent="0.25">
      <c r="B14" s="35" t="s">
        <v>0</v>
      </c>
    </row>
    <row r="15" spans="2:14" ht="21.75" customHeight="1" x14ac:dyDescent="0.25">
      <c r="B15" s="13" t="s">
        <v>2</v>
      </c>
      <c r="C15" s="11"/>
      <c r="D15" s="11"/>
      <c r="E15" s="11"/>
      <c r="F15" s="11"/>
      <c r="G15" s="12">
        <f>I15+K15+M15</f>
        <v>0</v>
      </c>
      <c r="H15" s="11"/>
      <c r="I15" s="12">
        <f>VLOOKUP(I9,Data1!E43:H64, 4, FALSE)</f>
        <v>0</v>
      </c>
      <c r="J15" s="11"/>
      <c r="K15" s="12">
        <f>VLOOKUP(K9,Data1!E46:H64, 4, FALSE)</f>
        <v>0</v>
      </c>
      <c r="L15" s="12"/>
      <c r="M15" s="12">
        <f>VLOOKUP(M9, Data1!E46:H64, 4, FALSE)</f>
        <v>0</v>
      </c>
      <c r="N15" s="11"/>
    </row>
    <row r="16" spans="2:14" ht="21.75" customHeight="1" x14ac:dyDescent="0.25">
      <c r="B16" s="39" t="s">
        <v>17</v>
      </c>
      <c r="G16" s="5">
        <f>I16+K16+M16</f>
        <v>0</v>
      </c>
      <c r="I16" s="5">
        <f>VLOOKUP(I9,Data1!E25:I43, 5, FALSE)</f>
        <v>0</v>
      </c>
      <c r="K16" s="5">
        <f>VLOOKUP(K9,Data1!E25:I43, 5, FALSE)</f>
        <v>0</v>
      </c>
      <c r="M16" s="5">
        <f>VLOOKUP(M9,Data1!E25:I43, 4, FALSE)</f>
        <v>0</v>
      </c>
    </row>
    <row r="17" spans="2:14" ht="21.75" customHeight="1" x14ac:dyDescent="0.25">
      <c r="B17" s="78" t="s">
        <v>56</v>
      </c>
      <c r="C17" s="78"/>
      <c r="D17" s="79"/>
      <c r="E17" s="31"/>
      <c r="F17" s="11"/>
      <c r="G17" s="30">
        <f>I17+K17+M17</f>
        <v>0</v>
      </c>
      <c r="H17" s="11"/>
      <c r="I17" s="30">
        <f>IF(AND(E17="Yes", I9&lt;&gt;"not enrolled"), (VLOOKUP(E17,Data1!A25:C26, 2, FALSE)), 0)</f>
        <v>0</v>
      </c>
      <c r="J17" s="11"/>
      <c r="K17" s="30">
        <v>0</v>
      </c>
      <c r="L17" s="30"/>
      <c r="M17" s="30">
        <f>IF(AND(E17="Yes", M9&lt;&gt;"not enrolled"), (VLOOKUP(E17,Data1!A25:C26, 2, FALSE)), 0)</f>
        <v>0</v>
      </c>
      <c r="N17" s="11"/>
    </row>
    <row r="18" spans="2:14" ht="21.75" customHeight="1" x14ac:dyDescent="0.25">
      <c r="B18" s="80" t="s">
        <v>64</v>
      </c>
      <c r="C18" s="80"/>
      <c r="D18" s="80"/>
      <c r="E18" s="60"/>
      <c r="F18" s="7"/>
      <c r="G18" s="32">
        <f>I18+K18+M18</f>
        <v>0</v>
      </c>
      <c r="H18" s="7"/>
      <c r="I18" s="62">
        <f>IF(AND(I9&lt;&gt;"select", I9&lt;&gt;"not enrolled",I9&lt;&gt;"4 credits",I9&lt;&gt;"5 credits",I9&lt;&gt;"6 credits",I9&lt;&gt;"7 credits"), 258, 0)</f>
        <v>0</v>
      </c>
      <c r="J18" s="7"/>
      <c r="K18" s="62">
        <f>IF(AND(K9&lt;&gt;"select", K9&lt;&gt;"not enrolled",K9&lt;&gt;"4 credits",K9&lt;&gt;"5 credits",K9&lt;&gt;"6 credits",K9&lt;&gt;"7 credits"), 258, 0)</f>
        <v>0</v>
      </c>
      <c r="L18" s="32"/>
      <c r="M18" s="62">
        <f>IF(AND(M9&lt;&gt;"select", M9&lt;&gt;"not enrolled",M9&lt;&gt;"4 credits",M9&lt;&gt;"5 credits",M9&lt;&gt;"6 credits",M9&lt;&gt;"7 credits"), 258, 0)</f>
        <v>0</v>
      </c>
      <c r="N18" s="7"/>
    </row>
    <row r="19" spans="2:14" ht="21.75" customHeight="1" x14ac:dyDescent="0.25">
      <c r="C19" s="8" t="s">
        <v>6</v>
      </c>
      <c r="G19" s="9">
        <f>SUM(G13, G15:G18)</f>
        <v>0</v>
      </c>
      <c r="I19" s="9">
        <f>SUM(I13,I15:I18)</f>
        <v>0</v>
      </c>
      <c r="K19" s="9">
        <f>SUM(K13,K15:K18)</f>
        <v>0</v>
      </c>
      <c r="L19" s="9"/>
      <c r="M19" s="9">
        <f>SUM(M13,M15:M18)</f>
        <v>0</v>
      </c>
    </row>
    <row r="20" spans="2:14" ht="24" customHeight="1" x14ac:dyDescent="0.25"/>
    <row r="21" spans="2:14" ht="15.75" thickBot="1" x14ac:dyDescent="0.3">
      <c r="B21" s="1" t="s">
        <v>11</v>
      </c>
      <c r="C21" s="2"/>
      <c r="D21" s="2"/>
      <c r="E21" s="2"/>
      <c r="F21" s="2"/>
      <c r="G21" s="4" t="s">
        <v>3</v>
      </c>
      <c r="H21" s="3"/>
      <c r="I21" s="4" t="s">
        <v>95</v>
      </c>
      <c r="J21" s="3"/>
      <c r="K21" s="4" t="s">
        <v>96</v>
      </c>
      <c r="L21" s="4"/>
      <c r="M21" s="4" t="s">
        <v>97</v>
      </c>
      <c r="N21" s="2"/>
    </row>
    <row r="22" spans="2:14" ht="21.75" customHeight="1" x14ac:dyDescent="0.25">
      <c r="B22" t="s">
        <v>16</v>
      </c>
      <c r="G22" s="16"/>
      <c r="I22" s="5">
        <f>IF((AND(I9&lt;&gt;"not enrolled", K9&lt;&gt;"not enrolled", M9&lt;&gt;"not enrolled")), (G22/3), IF((AND(I9&lt;&gt;"not enrolled", K9&lt;&gt;"not enrolled", M9="not enrolled")), (G22/2), IF((AND(I9&lt;&gt;"not enrolled", K9="not enrolled", M9="not enrolled")), (G22/1), 0)))</f>
        <v>0</v>
      </c>
      <c r="K22" s="5">
        <f>IF((AND(I9&lt;&gt;"not enrolled", K9&lt;&gt;"not enrolled", M9&lt;&gt;"not enrolled")), (G22/3), IF((AND(I9&lt;&gt;"not enrolled", K9&lt;&gt;"not enrolled", M9="not enrolled")), (G22/2), IF((AND(I9="not enrolled", K9&lt;&gt;"not enrolled", M9&lt;&gt;"not enrolled")), (G22/2), 0)))</f>
        <v>0</v>
      </c>
      <c r="M22" s="5">
        <f>IF((AND(I9&lt;&gt;"not enrolled", K9&lt;&gt;"not enrolled", M9&lt;&gt;"not enrolled")), (G22/3), IF((AND(I9="not enrolled", K9&lt;&gt;"not enrolled", M9&lt;&gt;"not enrolled")), (G22/2), IF((AND(I9="not enrolled", K9="not enrolled", M9&lt;&gt;"not enrolled")), (G22), 0)))</f>
        <v>0</v>
      </c>
    </row>
    <row r="23" spans="2:14" ht="21.75" customHeight="1" x14ac:dyDescent="0.25">
      <c r="B23" s="11" t="s">
        <v>8</v>
      </c>
      <c r="C23" s="11"/>
      <c r="D23" s="11"/>
      <c r="E23" s="11"/>
      <c r="F23" s="11"/>
      <c r="G23" s="17"/>
      <c r="H23" s="11"/>
      <c r="I23" s="12">
        <f>IF((AND(I9&lt;&gt;"not enrolled", K9&lt;&gt;"not enrolled", M9&lt;&gt;"not enrolled")), (G23/3), IF((AND(I9&lt;&gt;"not enrolled", K9&lt;&gt;"not enrolled", M9="not enrolled")), (G23/2), IF((AND(I9&lt;&gt;"not enrolled", K9="not enrolled", M9="not enrolled")), (G23/1), 0)))</f>
        <v>0</v>
      </c>
      <c r="J23" s="11"/>
      <c r="K23" s="12">
        <f>IF((AND(I9&lt;&gt;"not enrolled", K9&lt;&gt;"not enrolled", M9&lt;&gt;"not enrolled")), (G23/3), IF((AND(I9&lt;&gt;"not enrolled", K9&lt;&gt;"not enrolled", M9="not enrolled")), (G23/2), IF((AND(I9="not enrolled", K9&lt;&gt;"not enrolled", M9&lt;&gt;"not enrolled")), (G23/2), 0)))</f>
        <v>0</v>
      </c>
      <c r="L23" s="12"/>
      <c r="M23" s="12">
        <f>IF((AND(I9&lt;&gt;"not enrolled", K9&lt;&gt;"not enrolled", M9&lt;&gt;"not enrolled")), (G23/3), IF((AND(I9="not enrolled", K9&lt;&gt;"not enrolled", M9&lt;&gt;"not enrolled")), (G23/2), IF((AND(I9="not enrolled", K9="not enrolled", M9&lt;&gt;"not enrolled")), (G23), 0)))</f>
        <v>0</v>
      </c>
      <c r="N23" s="11"/>
    </row>
    <row r="24" spans="2:14" ht="21.75" customHeight="1" x14ac:dyDescent="0.25">
      <c r="B24" t="s">
        <v>65</v>
      </c>
      <c r="E24" s="18"/>
      <c r="G24" s="5">
        <f>SUM(I24,K24,M24)</f>
        <v>0</v>
      </c>
      <c r="I24" s="5">
        <f>IF((AND(I9&lt;&gt;"not enrolled", K9&lt;&gt;"not enrolled", M9&lt;&gt;"not enrolled")), ROUND(((E24-(E24*0.01057))/3),0), IF((AND(I9&lt;&gt;"not enrolled", K9&lt;&gt;"not enrolled", M9="not enrolled")), ROUND(((E24-(E24*0.01057))/2),0), IF((AND(I9&lt;&gt;"not enrolled", K9="not enrolled", M9="not enrolled")), ROUND(((E24-(E24*0.01057))/1),0), 0)))</f>
        <v>0</v>
      </c>
      <c r="K24" s="5">
        <f>IF((AND(I9&lt;&gt;"not enrolled", K9&lt;&gt;"not enrolled", M9&lt;&gt;"not enrolled")), ROUND(((E24-(E24*0.01057))/3),0), IF((AND(I9&lt;&gt;"not enrolled", K9&lt;&gt;"not enrolled", M9="not enrolled")), ROUND(((E24-(E24*0.01057))/2),0), IF((AND(I9="not enrolled", K9&lt;&gt;"not enrolled", M9&lt;&gt;"not enrolled")), ROUND(((E24-(E24*0.01057))/2),0), 0)))</f>
        <v>0</v>
      </c>
      <c r="M24" s="5">
        <f>IF((AND(I9&lt;&gt;"not enrolled", K9&lt;&gt;"not enrolled", M9&lt;&gt;"not enrolled")), ROUND(((E24-(E24*0.01057))/3),0), IF((AND(I9="not enrolled", K9&lt;&gt;"not enrolled", M9&lt;&gt;"not enrolled")), ROUND(((E24-(E24*0.01057))/2),0), IF((AND(I9="not enrolled", K9="not enrolled", M9&lt;&gt;"not enrolled")), ROUND(((E24-(E24*0.01057))/1),0), 0)))</f>
        <v>0</v>
      </c>
    </row>
    <row r="25" spans="2:14" ht="21.75" customHeight="1" x14ac:dyDescent="0.25">
      <c r="B25" s="11" t="s">
        <v>66</v>
      </c>
      <c r="C25" s="11"/>
      <c r="D25" s="11"/>
      <c r="E25" s="18"/>
      <c r="F25" s="11"/>
      <c r="G25" s="12">
        <f>SUM(I25,K25,M25)</f>
        <v>0</v>
      </c>
      <c r="H25" s="11"/>
      <c r="I25" s="12">
        <f>IF((AND(I9&lt;&gt;"not enrolled", K9&lt;&gt;"not enrolled", M9&lt;&gt;"not enrolled")), ROUND(((E25-(E25*0.04228))/3),0), IF((AND(I9&lt;&gt;"not enrolled", K9&lt;&gt;"not enrolled", M9="not enrolled")), ROUND(((E25-(E25*0.04228))/2),0), IF((AND(I9&lt;&gt;"not enrolled", K9="not enrolled", M9="not enrolled")), ROUND(((E25-(E25*0.04228))/1),0), 0)))</f>
        <v>0</v>
      </c>
      <c r="J25" s="11"/>
      <c r="K25" s="12">
        <f>IF((AND(I9&lt;&gt;"not enrolled", K9&lt;&gt;"not enrolled", M9&lt;&gt;"not enrolled")), ROUND(((E25-(E25*0.04228))/3),0), IF((AND(I9&lt;&gt;"not enrolled", K9&lt;&gt;"not enrolled", M9="not enrolled")), ROUND(((E25-(E25*0.04228))/2),0), IF((AND(I9="not enrolled", K9&lt;&gt;"not enrolled", M9&lt;&gt;"not enrolled")), ROUND(((E25-(E25*0.04228))/2),0), 0)))</f>
        <v>0</v>
      </c>
      <c r="L25" s="12"/>
      <c r="M25" s="12">
        <f>IF((AND(I9&lt;&gt;"not enrolled", K9&lt;&gt;"not enrolled", M9&lt;&gt;"not enrolled")), ROUND(((E25-(E25*0.04228))/3),0), IF((AND(I9="not enrolled", K9&lt;&gt;"not enrolled", M9&lt;&gt;"not enrolled")), ROUND(((E25-(E25*0.04228))/2),0), IF((AND(I9="not enrolled", K9="not enrolled", M9&lt;&gt;"not enrolled")), ROUND(((E25-(E25*0.04228))/1),0), 0)))</f>
        <v>0</v>
      </c>
      <c r="N25" s="11"/>
    </row>
    <row r="26" spans="2:14" ht="21.75" customHeight="1" x14ac:dyDescent="0.25">
      <c r="B26" s="71" t="s">
        <v>22</v>
      </c>
      <c r="C26" s="71"/>
      <c r="D26" s="71"/>
      <c r="E26" s="71"/>
      <c r="G26" s="17"/>
      <c r="I26" s="5">
        <f>IF((AND(I9&lt;&gt;"not enrolled", K9&lt;&gt;"not enrolled", M9&lt;&gt;"not enrolled")), (G26/3), IF((AND(I9&lt;&gt;"not enrolled", K9&lt;&gt;"not enrolled", M9="not enrolled")), (G26/2), IF((AND(I9&lt;&gt;"not enrolled", K9="not enrolled", M9="not enrolled")), (G26/1), 0)))</f>
        <v>0</v>
      </c>
      <c r="K26" s="5">
        <f>IF((AND(I9&lt;&gt;"not enrolled", K9&lt;&gt;"not enrolled", M9&lt;&gt;"not enrolled")), (G26/3), IF((AND(I9&lt;&gt;"not enrolled", K9&lt;&gt;"not enrolled", M9="not enrolled")), (G26/2), IF((AND(I9="not enrolled", K9&lt;&gt;"not enrolled", M9&lt;&gt;"not enrolled")), (G26/2), 0)))</f>
        <v>0</v>
      </c>
      <c r="M26" s="5">
        <f>IF((AND(I9&lt;&gt;"not enrolled", K9&lt;&gt;"not enrolled", M9&lt;&gt;"not enrolled")), (G26/3), IF((AND(I9="not enrolled", K9&lt;&gt;"not enrolled", M9&lt;&gt;"not enrolled")), (G26/2), IF((AND(I9="not enrolled", K9="not enrolled", M9&lt;&gt;"not enrolled")), (G26), 0)))</f>
        <v>0</v>
      </c>
    </row>
    <row r="27" spans="2:14" ht="21.75" customHeight="1" x14ac:dyDescent="0.25">
      <c r="B27" s="77" t="s">
        <v>23</v>
      </c>
      <c r="C27" s="77"/>
      <c r="D27" s="77"/>
      <c r="E27" s="77"/>
      <c r="F27" s="77"/>
      <c r="G27" s="28">
        <f>I27+K27+M27</f>
        <v>0</v>
      </c>
      <c r="H27" s="27"/>
      <c r="I27" s="19"/>
      <c r="J27" s="27"/>
      <c r="K27" s="19"/>
      <c r="L27" s="33"/>
      <c r="M27" s="24"/>
      <c r="N27" s="27"/>
    </row>
    <row r="28" spans="2:14" ht="21.75" customHeight="1" x14ac:dyDescent="0.25">
      <c r="C28" s="8" t="s">
        <v>10</v>
      </c>
      <c r="G28" s="5">
        <f>SUM(G22:G27)</f>
        <v>0</v>
      </c>
      <c r="I28" s="5">
        <f>SUM(I22:I27)</f>
        <v>0</v>
      </c>
      <c r="K28" s="5">
        <f>SUM(K22:K26,K27)</f>
        <v>0</v>
      </c>
      <c r="M28" s="5">
        <f>SUM(M22:M26,M27)</f>
        <v>0</v>
      </c>
    </row>
    <row r="29" spans="2:14" ht="15.75" thickBot="1" x14ac:dyDescent="0.3"/>
    <row r="30" spans="2:14" ht="21.75" customHeight="1" thickTop="1" thickBot="1" x14ac:dyDescent="0.35">
      <c r="B30" s="15" t="s">
        <v>12</v>
      </c>
      <c r="C30" s="14"/>
      <c r="D30" s="14"/>
      <c r="E30" s="14"/>
      <c r="F30" s="14"/>
      <c r="G30" s="25">
        <f>G19-G28</f>
        <v>0</v>
      </c>
      <c r="H30" s="26"/>
      <c r="I30" s="25">
        <f>I19-I28</f>
        <v>0</v>
      </c>
      <c r="J30" s="26"/>
      <c r="K30" s="25">
        <f>K19-K28</f>
        <v>0</v>
      </c>
      <c r="L30" s="25"/>
      <c r="M30" s="25">
        <f>M19-M28</f>
        <v>0</v>
      </c>
      <c r="N30" s="14"/>
    </row>
    <row r="31" spans="2:14" ht="15.75" thickTop="1" x14ac:dyDescent="0.25"/>
    <row r="32" spans="2:14" x14ac:dyDescent="0.25">
      <c r="B32" s="8" t="s">
        <v>13</v>
      </c>
    </row>
    <row r="33" spans="1:15" ht="21.75" customHeight="1" x14ac:dyDescent="0.25">
      <c r="A33" s="51">
        <v>1</v>
      </c>
      <c r="B33" s="72" t="str">
        <f>IF((OR(F5="2024 Fall Quarter")), Data1!P17, IF((OR(F5="2023 Fall Quarter")), Data1!P16, "Please choose a starting term for your cohort above."))</f>
        <v>Please choose a starting term for your cohort above.</v>
      </c>
      <c r="C33" s="72"/>
      <c r="D33" s="72"/>
      <c r="E33" s="72"/>
      <c r="F33" s="72"/>
      <c r="G33" s="72"/>
      <c r="H33" s="72"/>
      <c r="I33" s="72"/>
      <c r="J33" s="72"/>
      <c r="K33" s="72"/>
      <c r="L33" s="72"/>
      <c r="M33" s="72"/>
      <c r="N33" s="72"/>
      <c r="O33" s="72"/>
    </row>
    <row r="34" spans="1:15" ht="17.45" customHeight="1" x14ac:dyDescent="0.25">
      <c r="A34" s="51">
        <v>2</v>
      </c>
      <c r="B34" s="71" t="s">
        <v>102</v>
      </c>
      <c r="C34" s="71"/>
      <c r="D34" s="71"/>
      <c r="E34" s="71"/>
      <c r="F34" s="71"/>
      <c r="G34" s="71"/>
      <c r="H34" s="71"/>
      <c r="I34" s="71"/>
      <c r="J34" s="71"/>
      <c r="K34" s="71"/>
      <c r="L34" s="71"/>
      <c r="M34" s="71"/>
      <c r="N34" s="71"/>
    </row>
    <row r="35" spans="1:15" ht="30" customHeight="1" x14ac:dyDescent="0.25">
      <c r="A35" s="61">
        <v>3</v>
      </c>
      <c r="B35" s="72" t="s">
        <v>106</v>
      </c>
      <c r="C35" s="72"/>
      <c r="D35" s="72"/>
      <c r="E35" s="72"/>
      <c r="F35" s="72"/>
      <c r="G35" s="72"/>
      <c r="H35" s="72"/>
      <c r="I35" s="72"/>
      <c r="J35" s="72"/>
      <c r="K35" s="72"/>
      <c r="L35" s="72"/>
      <c r="M35" s="72"/>
      <c r="N35" s="72"/>
    </row>
    <row r="36" spans="1:15" ht="35.25" customHeight="1" x14ac:dyDescent="0.25">
      <c r="A36" s="61">
        <v>4</v>
      </c>
      <c r="B36" s="72" t="s">
        <v>67</v>
      </c>
      <c r="C36" s="72"/>
      <c r="D36" s="72"/>
      <c r="E36" s="72"/>
      <c r="F36" s="72"/>
      <c r="G36" s="72"/>
      <c r="H36" s="72"/>
      <c r="I36" s="72"/>
      <c r="J36" s="72"/>
      <c r="K36" s="72"/>
      <c r="L36" s="72"/>
      <c r="M36" s="72"/>
      <c r="N36" s="72"/>
    </row>
    <row r="37" spans="1:15" ht="65.25" customHeight="1" x14ac:dyDescent="0.25">
      <c r="A37" s="61">
        <v>5</v>
      </c>
      <c r="B37" s="72" t="s">
        <v>117</v>
      </c>
      <c r="C37" s="72"/>
      <c r="D37" s="72"/>
      <c r="E37" s="72"/>
      <c r="F37" s="72"/>
      <c r="G37" s="72"/>
      <c r="H37" s="72"/>
      <c r="I37" s="72"/>
      <c r="J37" s="72"/>
      <c r="K37" s="72"/>
      <c r="L37" s="72"/>
      <c r="M37" s="72"/>
      <c r="N37" s="72"/>
    </row>
    <row r="38" spans="1:15" ht="21.75" customHeight="1" x14ac:dyDescent="0.25"/>
    <row r="40" spans="1:15" x14ac:dyDescent="0.25">
      <c r="B40" s="67" t="s">
        <v>14</v>
      </c>
      <c r="C40" s="67"/>
      <c r="D40" s="67"/>
      <c r="E40" s="67"/>
      <c r="F40" s="67"/>
      <c r="G40" s="67"/>
      <c r="H40" s="67"/>
      <c r="I40" s="67"/>
      <c r="J40" s="67"/>
      <c r="K40" s="67"/>
      <c r="L40" s="67"/>
      <c r="M40" s="67"/>
      <c r="N40" s="67"/>
    </row>
  </sheetData>
  <sheetProtection algorithmName="SHA-512" hashValue="NabOnUk3xmwx05co2ko/nifOssNDEpyFudOGLBlBh3EbaL6W8856SyzdKE4RRvx6DGl/X/6IWCjfLJISQjY/iQ==" saltValue="jcocaWCF3m8MW/B3z3wWBg==" spinCount="100000" sheet="1" selectLockedCells="1"/>
  <mergeCells count="14">
    <mergeCell ref="B18:D18"/>
    <mergeCell ref="F2:N2"/>
    <mergeCell ref="F5:H5"/>
    <mergeCell ref="B7:N7"/>
    <mergeCell ref="C13:D13"/>
    <mergeCell ref="B17:D17"/>
    <mergeCell ref="B37:N37"/>
    <mergeCell ref="B40:N40"/>
    <mergeCell ref="B26:E26"/>
    <mergeCell ref="B27:F27"/>
    <mergeCell ref="B33:O33"/>
    <mergeCell ref="B34:N34"/>
    <mergeCell ref="B35:N35"/>
    <mergeCell ref="B36:N36"/>
  </mergeCells>
  <hyperlinks>
    <hyperlink ref="B17" r:id="rId1" display="Will you enroll in DU's health insurance plan?" xr:uid="{9D6C446D-E049-40EA-BB86-292B9BF588DB}"/>
    <hyperlink ref="B18" r:id="rId2" display="Will you use DU Health &amp; Counseling Services? " xr:uid="{950F8145-08BC-4557-ADBD-F0BA899B43C3}"/>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BC648790-4302-4226-89B0-2661BEDB0B46}">
          <x14:formula1>
            <xm:f>Data1!$A$33:$A$34</xm:f>
          </x14:formula1>
          <xm:sqref>F5:H5</xm:sqref>
        </x14:dataValidation>
        <x14:dataValidation type="list" allowBlank="1" showInputMessage="1" showErrorMessage="1" xr:uid="{410228BC-7DAE-4B4E-BA48-2B274EC48570}">
          <x14:formula1>
            <xm:f>Data1!$E$46:$E$64</xm:f>
          </x14:formula1>
          <xm:sqref>M9 I9 K9</xm:sqref>
        </x14:dataValidation>
        <x14:dataValidation type="list" allowBlank="1" showInputMessage="1" showErrorMessage="1" xr:uid="{E79E9620-28B4-4E59-AD34-4A284D6CA1F3}">
          <x14:formula1>
            <xm:f>Data1!$A$25:$A$26</xm:f>
          </x14:formula1>
          <xm:sqref>E17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64"/>
  <sheetViews>
    <sheetView showGridLines="0" topLeftCell="A4" workbookViewId="0">
      <selection activeCell="N30" sqref="N30"/>
    </sheetView>
  </sheetViews>
  <sheetFormatPr defaultColWidth="8.85546875" defaultRowHeight="15" x14ac:dyDescent="0.25"/>
  <cols>
    <col min="5" max="5" width="12.140625" bestFit="1" customWidth="1"/>
    <col min="6" max="10" width="11.85546875" customWidth="1"/>
    <col min="11" max="11" width="12" bestFit="1" customWidth="1"/>
    <col min="12" max="13" width="11.85546875" customWidth="1"/>
  </cols>
  <sheetData>
    <row r="1" spans="1:29" x14ac:dyDescent="0.25">
      <c r="A1" s="8" t="s">
        <v>58</v>
      </c>
      <c r="F1" s="64" t="s">
        <v>42</v>
      </c>
      <c r="G1" s="64">
        <v>2627</v>
      </c>
      <c r="H1" s="64">
        <v>2526</v>
      </c>
      <c r="K1" s="8" t="s">
        <v>68</v>
      </c>
    </row>
    <row r="2" spans="1:29" x14ac:dyDescent="0.25">
      <c r="A2" t="s">
        <v>63</v>
      </c>
      <c r="F2" s="65" t="s">
        <v>63</v>
      </c>
      <c r="G2" s="65"/>
      <c r="H2" s="65"/>
      <c r="K2" t="s">
        <v>63</v>
      </c>
    </row>
    <row r="3" spans="1:29" x14ac:dyDescent="0.25">
      <c r="A3" t="s">
        <v>43</v>
      </c>
      <c r="B3">
        <v>0</v>
      </c>
      <c r="C3">
        <v>0</v>
      </c>
      <c r="D3">
        <v>0</v>
      </c>
      <c r="F3" t="s">
        <v>43</v>
      </c>
      <c r="G3">
        <v>0</v>
      </c>
      <c r="H3">
        <v>0</v>
      </c>
      <c r="I3">
        <v>0</v>
      </c>
      <c r="K3" t="s">
        <v>43</v>
      </c>
      <c r="L3">
        <v>0</v>
      </c>
      <c r="M3">
        <v>0</v>
      </c>
      <c r="N3">
        <v>0</v>
      </c>
      <c r="O3" s="72"/>
      <c r="P3" s="72"/>
      <c r="Q3" s="72"/>
      <c r="R3" s="72"/>
      <c r="S3" s="72"/>
      <c r="T3" s="72"/>
      <c r="U3" s="72"/>
      <c r="V3" s="72"/>
      <c r="W3" s="72"/>
      <c r="X3" s="72"/>
      <c r="Y3" s="72"/>
      <c r="Z3" s="72"/>
      <c r="AA3" s="72"/>
    </row>
    <row r="4" spans="1:29" x14ac:dyDescent="0.25">
      <c r="A4" t="s">
        <v>25</v>
      </c>
      <c r="B4">
        <v>5048</v>
      </c>
      <c r="C4">
        <f>4*8</f>
        <v>32</v>
      </c>
      <c r="D4">
        <v>57</v>
      </c>
      <c r="F4" t="s">
        <v>25</v>
      </c>
      <c r="G4">
        <f>1600*4</f>
        <v>6400</v>
      </c>
      <c r="H4">
        <f>1830*4</f>
        <v>7320</v>
      </c>
      <c r="I4">
        <f>8*4</f>
        <v>32</v>
      </c>
      <c r="K4" t="s">
        <v>25</v>
      </c>
      <c r="L4">
        <f>1550*4</f>
        <v>6200</v>
      </c>
      <c r="M4">
        <f>8*4</f>
        <v>32</v>
      </c>
      <c r="N4">
        <v>57</v>
      </c>
      <c r="O4" s="50"/>
      <c r="P4" s="8" t="s">
        <v>69</v>
      </c>
      <c r="Q4" s="50"/>
      <c r="R4" s="50"/>
      <c r="S4" s="50"/>
      <c r="T4" s="50"/>
      <c r="U4" s="50"/>
      <c r="V4" s="50"/>
      <c r="W4" s="50"/>
      <c r="X4" s="50"/>
      <c r="Y4" s="50"/>
      <c r="Z4" s="50"/>
      <c r="AA4" s="50"/>
    </row>
    <row r="5" spans="1:29" ht="14.45" customHeight="1" x14ac:dyDescent="0.25">
      <c r="A5" t="s">
        <v>26</v>
      </c>
      <c r="B5">
        <v>6312</v>
      </c>
      <c r="C5">
        <f>C4+8</f>
        <v>40</v>
      </c>
      <c r="D5">
        <v>57</v>
      </c>
      <c r="F5" t="s">
        <v>26</v>
      </c>
      <c r="G5">
        <f>G4+1600</f>
        <v>8000</v>
      </c>
      <c r="H5">
        <f>H4+1830</f>
        <v>9150</v>
      </c>
      <c r="I5">
        <f>I4+8</f>
        <v>40</v>
      </c>
      <c r="K5" t="s">
        <v>26</v>
      </c>
      <c r="L5">
        <f>L4+1550</f>
        <v>7750</v>
      </c>
      <c r="M5">
        <f>M4+8</f>
        <v>40</v>
      </c>
      <c r="N5">
        <v>57</v>
      </c>
      <c r="P5" t="s">
        <v>89</v>
      </c>
      <c r="Q5" s="50"/>
      <c r="R5" s="50"/>
      <c r="S5" s="50"/>
      <c r="T5" s="50"/>
      <c r="U5" s="50"/>
      <c r="V5" s="50"/>
      <c r="W5" s="50"/>
      <c r="X5" s="50"/>
      <c r="Y5" s="50"/>
      <c r="Z5" s="50"/>
      <c r="AA5" s="50"/>
      <c r="AB5" s="50"/>
      <c r="AC5" s="50"/>
    </row>
    <row r="6" spans="1:29" ht="14.45" customHeight="1" x14ac:dyDescent="0.25">
      <c r="A6" t="s">
        <v>27</v>
      </c>
      <c r="B6">
        <v>7572</v>
      </c>
      <c r="C6">
        <f t="shared" ref="C6:C22" si="0">C5+8</f>
        <v>48</v>
      </c>
      <c r="D6">
        <v>57</v>
      </c>
      <c r="F6" t="s">
        <v>27</v>
      </c>
      <c r="G6">
        <f t="shared" ref="G6:G22" si="1">G5+1600</f>
        <v>9600</v>
      </c>
      <c r="H6">
        <f t="shared" ref="H6:H22" si="2">H5+1830</f>
        <v>10980</v>
      </c>
      <c r="I6">
        <f t="shared" ref="I6:I22" si="3">I5+8</f>
        <v>48</v>
      </c>
      <c r="K6" t="s">
        <v>27</v>
      </c>
      <c r="L6">
        <f t="shared" ref="L6:L22" si="4">L5+1550</f>
        <v>9300</v>
      </c>
      <c r="M6">
        <f t="shared" ref="M6:M22" si="5">M5+8</f>
        <v>48</v>
      </c>
      <c r="N6">
        <v>57</v>
      </c>
      <c r="P6" t="s">
        <v>82</v>
      </c>
      <c r="Q6" s="50"/>
      <c r="R6" s="50"/>
      <c r="S6" s="50"/>
      <c r="T6" s="50"/>
      <c r="U6" s="50"/>
      <c r="V6" s="50"/>
      <c r="W6" s="50"/>
      <c r="X6" s="50"/>
      <c r="Y6" s="50"/>
      <c r="Z6" s="50"/>
      <c r="AA6" s="50"/>
      <c r="AB6" s="50"/>
      <c r="AC6" s="50"/>
    </row>
    <row r="7" spans="1:29" x14ac:dyDescent="0.25">
      <c r="A7" t="s">
        <v>28</v>
      </c>
      <c r="B7">
        <v>8834</v>
      </c>
      <c r="C7">
        <f t="shared" si="0"/>
        <v>56</v>
      </c>
      <c r="D7">
        <v>57</v>
      </c>
      <c r="F7" t="s">
        <v>28</v>
      </c>
      <c r="G7">
        <f t="shared" si="1"/>
        <v>11200</v>
      </c>
      <c r="H7">
        <f t="shared" si="2"/>
        <v>12810</v>
      </c>
      <c r="I7">
        <f t="shared" si="3"/>
        <v>56</v>
      </c>
      <c r="K7" t="s">
        <v>28</v>
      </c>
      <c r="L7">
        <f t="shared" si="4"/>
        <v>10850</v>
      </c>
      <c r="M7">
        <f t="shared" si="5"/>
        <v>56</v>
      </c>
      <c r="N7">
        <v>57</v>
      </c>
      <c r="P7" t="s">
        <v>70</v>
      </c>
    </row>
    <row r="8" spans="1:29" x14ac:dyDescent="0.25">
      <c r="A8" t="s">
        <v>29</v>
      </c>
      <c r="B8">
        <v>10096</v>
      </c>
      <c r="C8">
        <f t="shared" si="0"/>
        <v>64</v>
      </c>
      <c r="D8">
        <v>57</v>
      </c>
      <c r="F8" t="s">
        <v>29</v>
      </c>
      <c r="G8">
        <f t="shared" si="1"/>
        <v>12800</v>
      </c>
      <c r="H8">
        <f t="shared" si="2"/>
        <v>14640</v>
      </c>
      <c r="I8">
        <f t="shared" si="3"/>
        <v>64</v>
      </c>
      <c r="K8" t="s">
        <v>29</v>
      </c>
      <c r="L8">
        <f t="shared" si="4"/>
        <v>12400</v>
      </c>
      <c r="M8">
        <f t="shared" si="5"/>
        <v>64</v>
      </c>
      <c r="N8">
        <v>57</v>
      </c>
    </row>
    <row r="9" spans="1:29" x14ac:dyDescent="0.25">
      <c r="A9" t="s">
        <v>30</v>
      </c>
      <c r="B9">
        <v>11358</v>
      </c>
      <c r="C9">
        <f t="shared" si="0"/>
        <v>72</v>
      </c>
      <c r="D9">
        <v>57</v>
      </c>
      <c r="F9" t="s">
        <v>30</v>
      </c>
      <c r="G9">
        <f t="shared" si="1"/>
        <v>14400</v>
      </c>
      <c r="H9">
        <f t="shared" si="2"/>
        <v>16470</v>
      </c>
      <c r="I9">
        <f t="shared" si="3"/>
        <v>72</v>
      </c>
      <c r="K9" t="s">
        <v>30</v>
      </c>
      <c r="L9">
        <f t="shared" si="4"/>
        <v>13950</v>
      </c>
      <c r="M9">
        <f t="shared" si="5"/>
        <v>72</v>
      </c>
      <c r="N9">
        <v>57</v>
      </c>
      <c r="P9" s="8" t="s">
        <v>71</v>
      </c>
    </row>
    <row r="10" spans="1:29" x14ac:dyDescent="0.25">
      <c r="A10" t="s">
        <v>31</v>
      </c>
      <c r="B10">
        <v>12620</v>
      </c>
      <c r="C10">
        <f t="shared" si="0"/>
        <v>80</v>
      </c>
      <c r="D10">
        <v>57</v>
      </c>
      <c r="F10" t="s">
        <v>31</v>
      </c>
      <c r="G10">
        <f t="shared" si="1"/>
        <v>16000</v>
      </c>
      <c r="H10">
        <f t="shared" si="2"/>
        <v>18300</v>
      </c>
      <c r="I10">
        <f t="shared" si="3"/>
        <v>80</v>
      </c>
      <c r="K10" t="s">
        <v>31</v>
      </c>
      <c r="L10">
        <f t="shared" si="4"/>
        <v>15500</v>
      </c>
      <c r="M10">
        <f t="shared" si="5"/>
        <v>80</v>
      </c>
      <c r="N10">
        <v>57</v>
      </c>
      <c r="P10" t="s">
        <v>88</v>
      </c>
    </row>
    <row r="11" spans="1:29" x14ac:dyDescent="0.25">
      <c r="A11" t="s">
        <v>32</v>
      </c>
      <c r="B11">
        <v>13882</v>
      </c>
      <c r="C11">
        <f t="shared" si="0"/>
        <v>88</v>
      </c>
      <c r="D11">
        <v>57</v>
      </c>
      <c r="F11" t="s">
        <v>32</v>
      </c>
      <c r="G11">
        <f t="shared" si="1"/>
        <v>17600</v>
      </c>
      <c r="H11">
        <f t="shared" si="2"/>
        <v>20130</v>
      </c>
      <c r="I11">
        <f t="shared" si="3"/>
        <v>88</v>
      </c>
      <c r="K11" t="s">
        <v>32</v>
      </c>
      <c r="L11">
        <f t="shared" si="4"/>
        <v>17050</v>
      </c>
      <c r="M11">
        <f t="shared" si="5"/>
        <v>88</v>
      </c>
      <c r="N11">
        <v>57</v>
      </c>
      <c r="P11" t="s">
        <v>83</v>
      </c>
    </row>
    <row r="12" spans="1:29" x14ac:dyDescent="0.25">
      <c r="A12" t="s">
        <v>33</v>
      </c>
      <c r="B12">
        <v>15144</v>
      </c>
      <c r="C12">
        <f t="shared" si="0"/>
        <v>96</v>
      </c>
      <c r="D12">
        <v>57</v>
      </c>
      <c r="F12" t="s">
        <v>33</v>
      </c>
      <c r="G12">
        <f t="shared" si="1"/>
        <v>19200</v>
      </c>
      <c r="H12">
        <f t="shared" si="2"/>
        <v>21960</v>
      </c>
      <c r="I12">
        <f t="shared" si="3"/>
        <v>96</v>
      </c>
      <c r="K12" t="s">
        <v>33</v>
      </c>
      <c r="L12">
        <f t="shared" si="4"/>
        <v>18600</v>
      </c>
      <c r="M12">
        <f t="shared" si="5"/>
        <v>96</v>
      </c>
      <c r="N12">
        <v>57</v>
      </c>
      <c r="P12" t="s">
        <v>72</v>
      </c>
    </row>
    <row r="13" spans="1:29" x14ac:dyDescent="0.25">
      <c r="A13" t="s">
        <v>34</v>
      </c>
      <c r="B13">
        <v>16406</v>
      </c>
      <c r="C13">
        <f t="shared" si="0"/>
        <v>104</v>
      </c>
      <c r="D13">
        <v>57</v>
      </c>
      <c r="F13" t="s">
        <v>34</v>
      </c>
      <c r="G13">
        <f t="shared" si="1"/>
        <v>20800</v>
      </c>
      <c r="H13">
        <f t="shared" si="2"/>
        <v>23790</v>
      </c>
      <c r="I13">
        <f t="shared" si="3"/>
        <v>104</v>
      </c>
      <c r="K13" t="s">
        <v>34</v>
      </c>
      <c r="L13">
        <f t="shared" si="4"/>
        <v>20150</v>
      </c>
      <c r="M13">
        <f t="shared" si="5"/>
        <v>104</v>
      </c>
      <c r="N13">
        <v>57</v>
      </c>
    </row>
    <row r="14" spans="1:29" x14ac:dyDescent="0.25">
      <c r="A14" t="s">
        <v>35</v>
      </c>
      <c r="B14">
        <v>17668</v>
      </c>
      <c r="C14">
        <f t="shared" si="0"/>
        <v>112</v>
      </c>
      <c r="D14">
        <v>57</v>
      </c>
      <c r="F14" t="s">
        <v>35</v>
      </c>
      <c r="G14">
        <f t="shared" si="1"/>
        <v>22400</v>
      </c>
      <c r="H14">
        <f t="shared" si="2"/>
        <v>25620</v>
      </c>
      <c r="I14">
        <f t="shared" si="3"/>
        <v>112</v>
      </c>
      <c r="K14" t="s">
        <v>35</v>
      </c>
      <c r="L14">
        <f t="shared" si="4"/>
        <v>21700</v>
      </c>
      <c r="M14">
        <f t="shared" si="5"/>
        <v>112</v>
      </c>
      <c r="N14">
        <v>57</v>
      </c>
      <c r="P14" s="8" t="s">
        <v>77</v>
      </c>
    </row>
    <row r="15" spans="1:29" x14ac:dyDescent="0.25">
      <c r="A15" t="s">
        <v>36</v>
      </c>
      <c r="B15">
        <v>18930</v>
      </c>
      <c r="C15">
        <f t="shared" si="0"/>
        <v>120</v>
      </c>
      <c r="D15">
        <v>57</v>
      </c>
      <c r="F15" t="s">
        <v>36</v>
      </c>
      <c r="G15">
        <f t="shared" si="1"/>
        <v>24000</v>
      </c>
      <c r="H15">
        <f t="shared" si="2"/>
        <v>27450</v>
      </c>
      <c r="I15">
        <f t="shared" si="3"/>
        <v>120</v>
      </c>
      <c r="K15" t="s">
        <v>36</v>
      </c>
      <c r="L15">
        <f t="shared" si="4"/>
        <v>23250</v>
      </c>
      <c r="M15">
        <f t="shared" si="5"/>
        <v>120</v>
      </c>
      <c r="N15">
        <v>57</v>
      </c>
      <c r="P15" t="s">
        <v>87</v>
      </c>
    </row>
    <row r="16" spans="1:29" x14ac:dyDescent="0.25">
      <c r="A16" t="s">
        <v>37</v>
      </c>
      <c r="B16">
        <v>20192</v>
      </c>
      <c r="C16">
        <f t="shared" si="0"/>
        <v>128</v>
      </c>
      <c r="D16">
        <v>57</v>
      </c>
      <c r="F16" t="s">
        <v>37</v>
      </c>
      <c r="G16">
        <f t="shared" si="1"/>
        <v>25600</v>
      </c>
      <c r="H16">
        <f t="shared" si="2"/>
        <v>29280</v>
      </c>
      <c r="I16">
        <f t="shared" si="3"/>
        <v>128</v>
      </c>
      <c r="K16" t="s">
        <v>37</v>
      </c>
      <c r="L16">
        <f t="shared" si="4"/>
        <v>24800</v>
      </c>
      <c r="M16">
        <f t="shared" si="5"/>
        <v>128</v>
      </c>
      <c r="N16">
        <v>57</v>
      </c>
      <c r="P16" t="s">
        <v>84</v>
      </c>
    </row>
    <row r="17" spans="1:18" x14ac:dyDescent="0.25">
      <c r="A17" t="s">
        <v>38</v>
      </c>
      <c r="B17">
        <v>21454</v>
      </c>
      <c r="C17">
        <f t="shared" si="0"/>
        <v>136</v>
      </c>
      <c r="D17">
        <v>57</v>
      </c>
      <c r="F17" t="s">
        <v>38</v>
      </c>
      <c r="G17">
        <f t="shared" si="1"/>
        <v>27200</v>
      </c>
      <c r="H17">
        <f t="shared" si="2"/>
        <v>31110</v>
      </c>
      <c r="I17">
        <f t="shared" si="3"/>
        <v>136</v>
      </c>
      <c r="K17" t="s">
        <v>38</v>
      </c>
      <c r="L17">
        <f t="shared" si="4"/>
        <v>26350</v>
      </c>
      <c r="M17">
        <f t="shared" si="5"/>
        <v>136</v>
      </c>
      <c r="N17">
        <v>57</v>
      </c>
      <c r="P17" t="s">
        <v>78</v>
      </c>
    </row>
    <row r="18" spans="1:18" x14ac:dyDescent="0.25">
      <c r="A18" t="s">
        <v>39</v>
      </c>
      <c r="B18">
        <v>22716</v>
      </c>
      <c r="C18">
        <f t="shared" si="0"/>
        <v>144</v>
      </c>
      <c r="D18">
        <v>57</v>
      </c>
      <c r="F18" t="s">
        <v>39</v>
      </c>
      <c r="G18">
        <f t="shared" si="1"/>
        <v>28800</v>
      </c>
      <c r="H18">
        <f t="shared" si="2"/>
        <v>32940</v>
      </c>
      <c r="I18">
        <f t="shared" si="3"/>
        <v>144</v>
      </c>
      <c r="K18" t="s">
        <v>39</v>
      </c>
      <c r="L18">
        <f t="shared" si="4"/>
        <v>27900</v>
      </c>
      <c r="M18">
        <f t="shared" si="5"/>
        <v>144</v>
      </c>
      <c r="N18">
        <v>57</v>
      </c>
    </row>
    <row r="19" spans="1:18" x14ac:dyDescent="0.25">
      <c r="A19" t="s">
        <v>40</v>
      </c>
      <c r="B19">
        <v>23978</v>
      </c>
      <c r="C19">
        <f t="shared" si="0"/>
        <v>152</v>
      </c>
      <c r="D19">
        <v>57</v>
      </c>
      <c r="F19" t="s">
        <v>40</v>
      </c>
      <c r="G19">
        <f t="shared" si="1"/>
        <v>30400</v>
      </c>
      <c r="H19">
        <f t="shared" si="2"/>
        <v>34770</v>
      </c>
      <c r="I19">
        <f t="shared" si="3"/>
        <v>152</v>
      </c>
      <c r="K19" t="s">
        <v>40</v>
      </c>
      <c r="L19">
        <f t="shared" si="4"/>
        <v>29450</v>
      </c>
      <c r="M19">
        <f t="shared" si="5"/>
        <v>152</v>
      </c>
      <c r="N19">
        <v>57</v>
      </c>
    </row>
    <row r="20" spans="1:18" x14ac:dyDescent="0.25">
      <c r="A20" t="s">
        <v>41</v>
      </c>
      <c r="B20">
        <v>25240</v>
      </c>
      <c r="C20">
        <f t="shared" si="0"/>
        <v>160</v>
      </c>
      <c r="D20">
        <v>57</v>
      </c>
      <c r="F20" t="s">
        <v>41</v>
      </c>
      <c r="G20">
        <f t="shared" si="1"/>
        <v>32000</v>
      </c>
      <c r="H20">
        <f t="shared" si="2"/>
        <v>36600</v>
      </c>
      <c r="I20">
        <f t="shared" si="3"/>
        <v>160</v>
      </c>
      <c r="K20" t="s">
        <v>41</v>
      </c>
      <c r="L20">
        <f t="shared" si="4"/>
        <v>31000</v>
      </c>
      <c r="M20">
        <f t="shared" si="5"/>
        <v>160</v>
      </c>
      <c r="N20">
        <v>57</v>
      </c>
    </row>
    <row r="21" spans="1:18" x14ac:dyDescent="0.25">
      <c r="A21" t="s">
        <v>52</v>
      </c>
      <c r="B21">
        <v>26502</v>
      </c>
      <c r="C21">
        <f t="shared" si="0"/>
        <v>168</v>
      </c>
      <c r="D21">
        <v>57</v>
      </c>
      <c r="F21" t="s">
        <v>52</v>
      </c>
      <c r="G21">
        <f t="shared" si="1"/>
        <v>33600</v>
      </c>
      <c r="H21">
        <f t="shared" si="2"/>
        <v>38430</v>
      </c>
      <c r="I21">
        <f t="shared" si="3"/>
        <v>168</v>
      </c>
      <c r="K21" t="s">
        <v>52</v>
      </c>
      <c r="L21">
        <f t="shared" si="4"/>
        <v>32550</v>
      </c>
      <c r="M21">
        <f t="shared" si="5"/>
        <v>168</v>
      </c>
      <c r="N21">
        <v>57</v>
      </c>
    </row>
    <row r="22" spans="1:18" x14ac:dyDescent="0.25">
      <c r="A22" t="s">
        <v>53</v>
      </c>
      <c r="B22">
        <v>27764</v>
      </c>
      <c r="C22">
        <f t="shared" si="0"/>
        <v>176</v>
      </c>
      <c r="D22">
        <v>57</v>
      </c>
      <c r="F22" t="s">
        <v>53</v>
      </c>
      <c r="G22">
        <f t="shared" si="1"/>
        <v>35200</v>
      </c>
      <c r="H22">
        <f t="shared" si="2"/>
        <v>40260</v>
      </c>
      <c r="I22">
        <f t="shared" si="3"/>
        <v>176</v>
      </c>
      <c r="K22" t="s">
        <v>53</v>
      </c>
      <c r="L22">
        <f t="shared" si="4"/>
        <v>34100</v>
      </c>
      <c r="M22">
        <f t="shared" si="5"/>
        <v>176</v>
      </c>
      <c r="N22">
        <v>57</v>
      </c>
    </row>
    <row r="24" spans="1:18" x14ac:dyDescent="0.25">
      <c r="A24" s="8" t="s">
        <v>21</v>
      </c>
      <c r="E24" s="64" t="s">
        <v>24</v>
      </c>
      <c r="F24" s="64" t="s">
        <v>90</v>
      </c>
      <c r="G24" s="64" t="s">
        <v>80</v>
      </c>
      <c r="H24" s="64" t="s">
        <v>45</v>
      </c>
      <c r="I24" s="64" t="s">
        <v>47</v>
      </c>
      <c r="J24" s="8"/>
      <c r="K24" s="8" t="s">
        <v>59</v>
      </c>
      <c r="L24" s="8" t="s">
        <v>110</v>
      </c>
      <c r="M24" s="38" t="s">
        <v>45</v>
      </c>
      <c r="N24" s="8" t="s">
        <v>111</v>
      </c>
      <c r="P24" s="8" t="s">
        <v>42</v>
      </c>
      <c r="R24" s="8"/>
    </row>
    <row r="25" spans="1:18" x14ac:dyDescent="0.25">
      <c r="A25" t="s">
        <v>4</v>
      </c>
      <c r="B25">
        <v>1990</v>
      </c>
      <c r="C25">
        <v>258</v>
      </c>
      <c r="E25" s="65" t="s">
        <v>63</v>
      </c>
      <c r="F25" s="64"/>
      <c r="G25" s="64"/>
      <c r="H25" s="64"/>
      <c r="I25" s="65"/>
      <c r="K25" t="s">
        <v>63</v>
      </c>
      <c r="L25" s="8"/>
      <c r="M25" s="38"/>
      <c r="N25" s="8"/>
      <c r="P25" t="s">
        <v>4</v>
      </c>
    </row>
    <row r="26" spans="1:18" x14ac:dyDescent="0.25">
      <c r="A26" t="s">
        <v>5</v>
      </c>
      <c r="B26">
        <v>0</v>
      </c>
      <c r="C26">
        <v>0</v>
      </c>
      <c r="E26" t="s">
        <v>43</v>
      </c>
      <c r="F26">
        <v>0</v>
      </c>
      <c r="G26">
        <v>0</v>
      </c>
      <c r="H26">
        <v>0</v>
      </c>
      <c r="I26">
        <v>0</v>
      </c>
      <c r="K26" t="s">
        <v>43</v>
      </c>
      <c r="L26">
        <v>0</v>
      </c>
      <c r="M26">
        <v>0</v>
      </c>
      <c r="N26">
        <v>0</v>
      </c>
      <c r="P26" t="s">
        <v>5</v>
      </c>
    </row>
    <row r="27" spans="1:18" x14ac:dyDescent="0.25">
      <c r="E27" t="s">
        <v>25</v>
      </c>
      <c r="F27">
        <f>1150*4</f>
        <v>4600</v>
      </c>
      <c r="G27">
        <v>4944</v>
      </c>
      <c r="H27">
        <f>8*4</f>
        <v>32</v>
      </c>
      <c r="I27">
        <v>57</v>
      </c>
      <c r="K27" t="s">
        <v>25</v>
      </c>
      <c r="L27">
        <f>1250*4</f>
        <v>5000</v>
      </c>
      <c r="M27">
        <f>8*4</f>
        <v>32</v>
      </c>
      <c r="N27">
        <f>1425*4</f>
        <v>5700</v>
      </c>
      <c r="Q27" s="8" t="s">
        <v>62</v>
      </c>
    </row>
    <row r="28" spans="1:18" x14ac:dyDescent="0.25">
      <c r="E28" t="s">
        <v>26</v>
      </c>
      <c r="F28">
        <f>F27+1150</f>
        <v>5750</v>
      </c>
      <c r="G28">
        <v>6180</v>
      </c>
      <c r="H28">
        <f>H27+8</f>
        <v>40</v>
      </c>
      <c r="I28">
        <v>57</v>
      </c>
      <c r="K28" t="s">
        <v>26</v>
      </c>
      <c r="L28">
        <f>L27+1250</f>
        <v>6250</v>
      </c>
      <c r="M28">
        <f>M27+8</f>
        <v>40</v>
      </c>
      <c r="N28">
        <f>N27+1425</f>
        <v>7125</v>
      </c>
      <c r="Q28">
        <v>16598</v>
      </c>
    </row>
    <row r="29" spans="1:18" x14ac:dyDescent="0.25">
      <c r="E29" t="s">
        <v>27</v>
      </c>
      <c r="F29">
        <f t="shared" ref="F29:F43" si="6">F28+1150</f>
        <v>6900</v>
      </c>
      <c r="G29">
        <v>7416</v>
      </c>
      <c r="H29">
        <f t="shared" ref="H29:H43" si="7">H28+8</f>
        <v>48</v>
      </c>
      <c r="I29">
        <v>57</v>
      </c>
      <c r="K29" t="s">
        <v>27</v>
      </c>
      <c r="L29">
        <f t="shared" ref="L29:L43" si="8">L28+1250</f>
        <v>7500</v>
      </c>
      <c r="M29">
        <f t="shared" ref="M29:M43" si="9">M28+8</f>
        <v>48</v>
      </c>
      <c r="N29">
        <f t="shared" ref="N29:N43" si="10">N28+1425</f>
        <v>8550</v>
      </c>
      <c r="Q29">
        <v>0</v>
      </c>
    </row>
    <row r="30" spans="1:18" x14ac:dyDescent="0.25">
      <c r="E30" t="s">
        <v>28</v>
      </c>
      <c r="F30">
        <f t="shared" si="6"/>
        <v>8050</v>
      </c>
      <c r="G30">
        <v>8652</v>
      </c>
      <c r="H30">
        <f t="shared" si="7"/>
        <v>56</v>
      </c>
      <c r="I30">
        <v>57</v>
      </c>
      <c r="K30" t="s">
        <v>28</v>
      </c>
      <c r="L30">
        <f t="shared" si="8"/>
        <v>8750</v>
      </c>
      <c r="M30">
        <f t="shared" si="9"/>
        <v>56</v>
      </c>
      <c r="N30">
        <f t="shared" si="10"/>
        <v>9975</v>
      </c>
    </row>
    <row r="31" spans="1:18" x14ac:dyDescent="0.25">
      <c r="E31" t="s">
        <v>29</v>
      </c>
      <c r="F31">
        <f t="shared" si="6"/>
        <v>9200</v>
      </c>
      <c r="G31">
        <v>9888</v>
      </c>
      <c r="H31">
        <f t="shared" si="7"/>
        <v>64</v>
      </c>
      <c r="I31">
        <v>57</v>
      </c>
      <c r="K31" t="s">
        <v>29</v>
      </c>
      <c r="L31">
        <f t="shared" si="8"/>
        <v>10000</v>
      </c>
      <c r="M31">
        <f t="shared" si="9"/>
        <v>64</v>
      </c>
      <c r="N31">
        <f t="shared" si="10"/>
        <v>11400</v>
      </c>
    </row>
    <row r="32" spans="1:18" x14ac:dyDescent="0.25">
      <c r="E32" t="s">
        <v>30</v>
      </c>
      <c r="F32">
        <f t="shared" si="6"/>
        <v>10350</v>
      </c>
      <c r="G32">
        <v>11124</v>
      </c>
      <c r="H32">
        <f t="shared" si="7"/>
        <v>72</v>
      </c>
      <c r="I32">
        <v>57</v>
      </c>
      <c r="K32" t="s">
        <v>30</v>
      </c>
      <c r="L32">
        <f t="shared" si="8"/>
        <v>11250</v>
      </c>
      <c r="M32">
        <f t="shared" si="9"/>
        <v>72</v>
      </c>
      <c r="N32">
        <f t="shared" si="10"/>
        <v>12825</v>
      </c>
    </row>
    <row r="33" spans="1:14" x14ac:dyDescent="0.25">
      <c r="A33" t="s">
        <v>101</v>
      </c>
      <c r="E33" t="s">
        <v>31</v>
      </c>
      <c r="F33">
        <f t="shared" si="6"/>
        <v>11500</v>
      </c>
      <c r="G33">
        <v>12360</v>
      </c>
      <c r="H33">
        <f t="shared" si="7"/>
        <v>80</v>
      </c>
      <c r="I33">
        <v>57</v>
      </c>
      <c r="K33" t="s">
        <v>31</v>
      </c>
      <c r="L33">
        <f t="shared" si="8"/>
        <v>12500</v>
      </c>
      <c r="M33">
        <f t="shared" si="9"/>
        <v>80</v>
      </c>
      <c r="N33">
        <f t="shared" si="10"/>
        <v>14250</v>
      </c>
    </row>
    <row r="34" spans="1:14" x14ac:dyDescent="0.25">
      <c r="A34" t="s">
        <v>79</v>
      </c>
      <c r="E34" t="s">
        <v>32</v>
      </c>
      <c r="F34">
        <f t="shared" si="6"/>
        <v>12650</v>
      </c>
      <c r="G34">
        <v>13596</v>
      </c>
      <c r="H34">
        <f t="shared" si="7"/>
        <v>88</v>
      </c>
      <c r="I34">
        <v>57</v>
      </c>
      <c r="K34" t="s">
        <v>32</v>
      </c>
      <c r="L34">
        <f t="shared" si="8"/>
        <v>13750</v>
      </c>
      <c r="M34">
        <f t="shared" si="9"/>
        <v>88</v>
      </c>
      <c r="N34">
        <f t="shared" si="10"/>
        <v>15675</v>
      </c>
    </row>
    <row r="35" spans="1:14" x14ac:dyDescent="0.25">
      <c r="E35" t="s">
        <v>33</v>
      </c>
      <c r="F35">
        <f t="shared" si="6"/>
        <v>13800</v>
      </c>
      <c r="G35">
        <v>14832</v>
      </c>
      <c r="H35">
        <f t="shared" si="7"/>
        <v>96</v>
      </c>
      <c r="I35">
        <v>57</v>
      </c>
      <c r="K35" t="s">
        <v>33</v>
      </c>
      <c r="L35">
        <f t="shared" si="8"/>
        <v>15000</v>
      </c>
      <c r="M35">
        <f t="shared" si="9"/>
        <v>96</v>
      </c>
      <c r="N35">
        <f t="shared" si="10"/>
        <v>17100</v>
      </c>
    </row>
    <row r="36" spans="1:14" x14ac:dyDescent="0.25">
      <c r="A36" t="s">
        <v>105</v>
      </c>
      <c r="E36" t="s">
        <v>34</v>
      </c>
      <c r="F36">
        <f t="shared" si="6"/>
        <v>14950</v>
      </c>
      <c r="G36">
        <v>16068</v>
      </c>
      <c r="H36">
        <f t="shared" si="7"/>
        <v>104</v>
      </c>
      <c r="I36">
        <v>57</v>
      </c>
      <c r="K36" t="s">
        <v>34</v>
      </c>
      <c r="L36">
        <f t="shared" si="8"/>
        <v>16250</v>
      </c>
      <c r="M36">
        <f t="shared" si="9"/>
        <v>104</v>
      </c>
      <c r="N36">
        <f t="shared" si="10"/>
        <v>18525</v>
      </c>
    </row>
    <row r="37" spans="1:14" x14ac:dyDescent="0.25">
      <c r="A37" t="s">
        <v>81</v>
      </c>
      <c r="E37" t="s">
        <v>35</v>
      </c>
      <c r="F37">
        <f t="shared" si="6"/>
        <v>16100</v>
      </c>
      <c r="G37">
        <v>17304</v>
      </c>
      <c r="H37">
        <f t="shared" si="7"/>
        <v>112</v>
      </c>
      <c r="I37">
        <v>57</v>
      </c>
      <c r="K37" t="s">
        <v>35</v>
      </c>
      <c r="L37">
        <f t="shared" si="8"/>
        <v>17500</v>
      </c>
      <c r="M37">
        <f t="shared" si="9"/>
        <v>112</v>
      </c>
      <c r="N37">
        <f t="shared" si="10"/>
        <v>19950</v>
      </c>
    </row>
    <row r="38" spans="1:14" x14ac:dyDescent="0.25">
      <c r="E38" t="s">
        <v>36</v>
      </c>
      <c r="F38">
        <f t="shared" si="6"/>
        <v>17250</v>
      </c>
      <c r="G38">
        <v>18540</v>
      </c>
      <c r="H38">
        <f t="shared" si="7"/>
        <v>120</v>
      </c>
      <c r="I38">
        <v>57</v>
      </c>
      <c r="K38" t="s">
        <v>36</v>
      </c>
      <c r="L38">
        <f t="shared" si="8"/>
        <v>18750</v>
      </c>
      <c r="M38">
        <f t="shared" si="9"/>
        <v>120</v>
      </c>
      <c r="N38">
        <f t="shared" si="10"/>
        <v>21375</v>
      </c>
    </row>
    <row r="39" spans="1:14" x14ac:dyDescent="0.25">
      <c r="E39" t="s">
        <v>37</v>
      </c>
      <c r="F39">
        <f t="shared" si="6"/>
        <v>18400</v>
      </c>
      <c r="G39">
        <v>19776</v>
      </c>
      <c r="H39">
        <f t="shared" si="7"/>
        <v>128</v>
      </c>
      <c r="I39">
        <v>57</v>
      </c>
      <c r="K39" t="s">
        <v>37</v>
      </c>
      <c r="L39">
        <f t="shared" si="8"/>
        <v>20000</v>
      </c>
      <c r="M39">
        <f t="shared" si="9"/>
        <v>128</v>
      </c>
      <c r="N39">
        <f t="shared" si="10"/>
        <v>22800</v>
      </c>
    </row>
    <row r="40" spans="1:14" x14ac:dyDescent="0.25">
      <c r="E40" t="s">
        <v>38</v>
      </c>
      <c r="F40">
        <f t="shared" si="6"/>
        <v>19550</v>
      </c>
      <c r="G40">
        <v>21012</v>
      </c>
      <c r="H40">
        <f t="shared" si="7"/>
        <v>136</v>
      </c>
      <c r="I40">
        <v>57</v>
      </c>
      <c r="K40" t="s">
        <v>38</v>
      </c>
      <c r="L40">
        <f t="shared" si="8"/>
        <v>21250</v>
      </c>
      <c r="M40">
        <f t="shared" si="9"/>
        <v>136</v>
      </c>
      <c r="N40">
        <f t="shared" si="10"/>
        <v>24225</v>
      </c>
    </row>
    <row r="41" spans="1:14" x14ac:dyDescent="0.25">
      <c r="E41" t="s">
        <v>39</v>
      </c>
      <c r="F41">
        <f t="shared" si="6"/>
        <v>20700</v>
      </c>
      <c r="G41">
        <v>22248</v>
      </c>
      <c r="H41">
        <f t="shared" si="7"/>
        <v>144</v>
      </c>
      <c r="I41">
        <v>57</v>
      </c>
      <c r="K41" t="s">
        <v>39</v>
      </c>
      <c r="L41">
        <f t="shared" si="8"/>
        <v>22500</v>
      </c>
      <c r="M41">
        <f t="shared" si="9"/>
        <v>144</v>
      </c>
      <c r="N41">
        <f t="shared" si="10"/>
        <v>25650</v>
      </c>
    </row>
    <row r="42" spans="1:14" x14ac:dyDescent="0.25">
      <c r="E42" t="s">
        <v>40</v>
      </c>
      <c r="F42">
        <f t="shared" si="6"/>
        <v>21850</v>
      </c>
      <c r="G42">
        <v>23484</v>
      </c>
      <c r="H42">
        <f t="shared" si="7"/>
        <v>152</v>
      </c>
      <c r="I42">
        <v>57</v>
      </c>
      <c r="K42" t="s">
        <v>40</v>
      </c>
      <c r="L42">
        <f t="shared" si="8"/>
        <v>23750</v>
      </c>
      <c r="M42">
        <f t="shared" si="9"/>
        <v>152</v>
      </c>
      <c r="N42">
        <f t="shared" si="10"/>
        <v>27075</v>
      </c>
    </row>
    <row r="43" spans="1:14" x14ac:dyDescent="0.25">
      <c r="E43" t="s">
        <v>41</v>
      </c>
      <c r="F43">
        <f t="shared" si="6"/>
        <v>23000</v>
      </c>
      <c r="G43">
        <v>24720</v>
      </c>
      <c r="H43">
        <f t="shared" si="7"/>
        <v>160</v>
      </c>
      <c r="I43">
        <v>57</v>
      </c>
      <c r="K43" t="s">
        <v>41</v>
      </c>
      <c r="L43">
        <f t="shared" si="8"/>
        <v>25000</v>
      </c>
      <c r="M43">
        <f t="shared" si="9"/>
        <v>160</v>
      </c>
      <c r="N43">
        <f t="shared" si="10"/>
        <v>28500</v>
      </c>
    </row>
    <row r="45" spans="1:14" x14ac:dyDescent="0.25">
      <c r="E45" s="64" t="s">
        <v>46</v>
      </c>
      <c r="F45" s="66" t="s">
        <v>90</v>
      </c>
      <c r="G45" s="66" t="s">
        <v>80</v>
      </c>
      <c r="H45" s="66" t="s">
        <v>45</v>
      </c>
      <c r="I45" s="8"/>
    </row>
    <row r="46" spans="1:14" x14ac:dyDescent="0.25">
      <c r="E46" t="s">
        <v>63</v>
      </c>
      <c r="F46" s="38"/>
      <c r="G46" s="38"/>
      <c r="H46" s="38"/>
    </row>
    <row r="47" spans="1:14" x14ac:dyDescent="0.25">
      <c r="E47" t="s">
        <v>43</v>
      </c>
      <c r="F47">
        <v>0</v>
      </c>
      <c r="G47">
        <v>0</v>
      </c>
      <c r="H47">
        <v>0</v>
      </c>
    </row>
    <row r="48" spans="1:14" x14ac:dyDescent="0.25">
      <c r="E48" t="s">
        <v>25</v>
      </c>
      <c r="F48">
        <v>6720</v>
      </c>
      <c r="G48">
        <v>6720</v>
      </c>
      <c r="H48">
        <f>8*4</f>
        <v>32</v>
      </c>
    </row>
    <row r="49" spans="5:8" x14ac:dyDescent="0.25">
      <c r="E49" t="s">
        <v>26</v>
      </c>
      <c r="F49">
        <v>8400</v>
      </c>
      <c r="G49">
        <f>G48+1680</f>
        <v>8400</v>
      </c>
      <c r="H49">
        <f>H48+8</f>
        <v>40</v>
      </c>
    </row>
    <row r="50" spans="5:8" x14ac:dyDescent="0.25">
      <c r="E50" t="s">
        <v>27</v>
      </c>
      <c r="F50">
        <v>10080</v>
      </c>
      <c r="G50">
        <f t="shared" ref="G50:G64" si="11">G49+1680</f>
        <v>10080</v>
      </c>
      <c r="H50">
        <f t="shared" ref="H50:H64" si="12">H49+8</f>
        <v>48</v>
      </c>
    </row>
    <row r="51" spans="5:8" x14ac:dyDescent="0.25">
      <c r="E51" t="s">
        <v>28</v>
      </c>
      <c r="F51">
        <v>11760</v>
      </c>
      <c r="G51">
        <f t="shared" si="11"/>
        <v>11760</v>
      </c>
      <c r="H51">
        <f t="shared" si="12"/>
        <v>56</v>
      </c>
    </row>
    <row r="52" spans="5:8" x14ac:dyDescent="0.25">
      <c r="E52" t="s">
        <v>29</v>
      </c>
      <c r="F52">
        <v>13440</v>
      </c>
      <c r="G52">
        <f t="shared" si="11"/>
        <v>13440</v>
      </c>
      <c r="H52">
        <f t="shared" si="12"/>
        <v>64</v>
      </c>
    </row>
    <row r="53" spans="5:8" x14ac:dyDescent="0.25">
      <c r="E53" t="s">
        <v>30</v>
      </c>
      <c r="F53">
        <v>15120</v>
      </c>
      <c r="G53">
        <f t="shared" si="11"/>
        <v>15120</v>
      </c>
      <c r="H53">
        <f t="shared" si="12"/>
        <v>72</v>
      </c>
    </row>
    <row r="54" spans="5:8" x14ac:dyDescent="0.25">
      <c r="E54" t="s">
        <v>31</v>
      </c>
      <c r="F54">
        <v>16800</v>
      </c>
      <c r="G54">
        <f t="shared" si="11"/>
        <v>16800</v>
      </c>
      <c r="H54">
        <f t="shared" si="12"/>
        <v>80</v>
      </c>
    </row>
    <row r="55" spans="5:8" x14ac:dyDescent="0.25">
      <c r="E55" t="s">
        <v>32</v>
      </c>
      <c r="F55">
        <v>18480</v>
      </c>
      <c r="G55">
        <f t="shared" si="11"/>
        <v>18480</v>
      </c>
      <c r="H55">
        <f t="shared" si="12"/>
        <v>88</v>
      </c>
    </row>
    <row r="56" spans="5:8" x14ac:dyDescent="0.25">
      <c r="E56" t="s">
        <v>33</v>
      </c>
      <c r="F56">
        <v>20160</v>
      </c>
      <c r="G56">
        <f t="shared" si="11"/>
        <v>20160</v>
      </c>
      <c r="H56">
        <f t="shared" si="12"/>
        <v>96</v>
      </c>
    </row>
    <row r="57" spans="5:8" x14ac:dyDescent="0.25">
      <c r="E57" t="s">
        <v>34</v>
      </c>
      <c r="F57">
        <v>21840</v>
      </c>
      <c r="G57">
        <f t="shared" si="11"/>
        <v>21840</v>
      </c>
      <c r="H57">
        <f t="shared" si="12"/>
        <v>104</v>
      </c>
    </row>
    <row r="58" spans="5:8" x14ac:dyDescent="0.25">
      <c r="E58" t="s">
        <v>35</v>
      </c>
      <c r="F58">
        <v>23520</v>
      </c>
      <c r="G58">
        <f t="shared" si="11"/>
        <v>23520</v>
      </c>
      <c r="H58">
        <f t="shared" si="12"/>
        <v>112</v>
      </c>
    </row>
    <row r="59" spans="5:8" x14ac:dyDescent="0.25">
      <c r="E59" t="s">
        <v>36</v>
      </c>
      <c r="F59">
        <v>25200</v>
      </c>
      <c r="G59">
        <f t="shared" si="11"/>
        <v>25200</v>
      </c>
      <c r="H59">
        <f t="shared" si="12"/>
        <v>120</v>
      </c>
    </row>
    <row r="60" spans="5:8" x14ac:dyDescent="0.25">
      <c r="E60" t="s">
        <v>37</v>
      </c>
      <c r="F60">
        <v>26880</v>
      </c>
      <c r="G60">
        <f t="shared" si="11"/>
        <v>26880</v>
      </c>
      <c r="H60">
        <f t="shared" si="12"/>
        <v>128</v>
      </c>
    </row>
    <row r="61" spans="5:8" x14ac:dyDescent="0.25">
      <c r="E61" t="s">
        <v>38</v>
      </c>
      <c r="F61">
        <v>28560</v>
      </c>
      <c r="G61">
        <f t="shared" si="11"/>
        <v>28560</v>
      </c>
      <c r="H61">
        <f t="shared" si="12"/>
        <v>136</v>
      </c>
    </row>
    <row r="62" spans="5:8" x14ac:dyDescent="0.25">
      <c r="E62" t="s">
        <v>39</v>
      </c>
      <c r="F62">
        <v>30240</v>
      </c>
      <c r="G62">
        <f t="shared" si="11"/>
        <v>30240</v>
      </c>
      <c r="H62">
        <f t="shared" si="12"/>
        <v>144</v>
      </c>
    </row>
    <row r="63" spans="5:8" x14ac:dyDescent="0.25">
      <c r="E63" t="s">
        <v>40</v>
      </c>
      <c r="F63">
        <v>31920</v>
      </c>
      <c r="G63">
        <f t="shared" si="11"/>
        <v>31920</v>
      </c>
      <c r="H63">
        <f t="shared" si="12"/>
        <v>152</v>
      </c>
    </row>
    <row r="64" spans="5:8" x14ac:dyDescent="0.25">
      <c r="E64" t="s">
        <v>41</v>
      </c>
      <c r="F64">
        <v>33600</v>
      </c>
      <c r="G64">
        <f t="shared" si="11"/>
        <v>33600</v>
      </c>
      <c r="H64">
        <f t="shared" si="12"/>
        <v>160</v>
      </c>
    </row>
  </sheetData>
  <sheetProtection selectLockedCells="1"/>
  <mergeCells count="1">
    <mergeCell ref="O3:AA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V I 9 W h / j Y d q l A A A A 9 g A A A B I A H A B D b 2 5 m a W c v U G F j a 2 F n Z S 5 4 b W w g o h g A K K A U A A A A A A A A A A A A A A A A A A A A A A A A A A A A h Y 9 L D o I w G I S v Q r q n D 0 h 8 k J + y c C u J C d G 4 b W q F R i i G F s v d X H g k r y B G U X c u Z + a b Z O Z + v U E 2 N H V w U Z 3 V r U k R w x Q F y s j 2 o E 2 Z o t 4 d w w X K O G y E P I l S B S N s b D J Y n a L K u X N C i P c e + x i 3 X U k i S h n Z 5 + t C V q o R o T b W C S M V + r Q O / 1 u I w + 4 1 h k e Y x U v M 5 j N M g U w m 5 N p 8 g W j c + 0 x / T F j 1 t e s 7 x Z U J t w W Q S Q J 5 f + A P U E s D B B Q A A g A I A P l S P 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5 U j 1 a K I p H u A 4 A A A A R A A A A E w A c A E Z v c m 1 1 b G F z L 1 N l Y 3 R p b 2 4 x L m 0 g o h g A K K A U A A A A A A A A A A A A A A A A A A A A A A A A A A A A K 0 5 N L s n M z 1 M I h t C G 1 g B Q S w E C L Q A U A A I A C A D 5 U j 1 a H + N h 2 q U A A A D 2 A A A A E g A A A A A A A A A A A A A A A A A A A A A A Q 2 9 u Z m l n L 1 B h Y 2 t h Z 2 U u e G 1 s U E s B A i 0 A F A A C A A g A + V I 9 W g / K 6 a u k A A A A 6 Q A A A B M A A A A A A A A A A A A A A A A A 8 Q A A A F t D b 2 5 0 Z W 5 0 X 1 R 5 c G V z X S 5 4 b W x Q S w E C L Q A U A A I A C A D 5 U j 1 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Z o c l 3 v a H 0 m r Y 0 u Y R j L T R A A A A A A C A A A A A A A D Z g A A w A A A A B A A A A C 1 k + 9 Y Z 1 4 F H / y x + H x v K R D 5 A A A A A A S A A A C g A A A A E A A A A E 5 R h q W v J 2 C s K d i J 0 N 0 u 3 2 l Q A A A A r Z t 5 K h G 1 m x J R h X X H z D a 7 8 u g k n J n k C m E g E E h Y X M v V M P b 7 3 7 B m I 5 T n n 0 h i Q Y 7 0 q X r w v x M n 8 c D X N Y p t k T s B r Y j 3 Z A h C t N p d M w o P h j 1 z N S v d C 4 E U A A A A G v c z Y N g d H P 5 w e L p z t 0 s t U f 4 x i / c = < / D a t a M a s h u p > 
</file>

<file path=customXml/itemProps1.xml><?xml version="1.0" encoding="utf-8"?>
<ds:datastoreItem xmlns:ds="http://schemas.openxmlformats.org/officeDocument/2006/customXml" ds:itemID="{4CA9B6E1-4265-4E20-BC2F-58368969C5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9</vt:i4>
      </vt:variant>
    </vt:vector>
  </HeadingPairs>
  <TitlesOfParts>
    <vt:vector size="9" baseType="lpstr">
      <vt:lpstr>Worksheets Home</vt:lpstr>
      <vt:lpstr>BA</vt:lpstr>
      <vt:lpstr>Master's</vt:lpstr>
      <vt:lpstr>Denver MBA</vt:lpstr>
      <vt:lpstr>PMBA</vt:lpstr>
      <vt:lpstr>EMBA</vt:lpstr>
      <vt:lpstr>MBA@Denver</vt:lpstr>
      <vt:lpstr>Executive PhD</vt:lpstr>
      <vt:lpstr>Data1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 Financial Aid</cp:lastModifiedBy>
  <cp:lastPrinted>2019-02-07T21:36:17Z</cp:lastPrinted>
  <dcterms:created xsi:type="dcterms:W3CDTF">2018-06-06T22:54:45Z</dcterms:created>
  <dcterms:modified xsi:type="dcterms:W3CDTF">2026-02-23T20:21:04Z</dcterms:modified>
</cp:coreProperties>
</file>