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DAB4EC5C-951B-41BA-8EDF-258C864A2FF7}" xr6:coauthVersionLast="47" xr6:coauthVersionMax="47" xr10:uidLastSave="{00000000-0000-0000-0000-000000000000}"/>
  <workbookProtection workbookAlgorithmName="SHA-512" workbookHashValue="/rHUhJSp0ONSuJKRsKvCcOwJ0ShO14pi+cRx1rB8AGl8ApH90U70UPD2mydCQJe6owQ3Ct8Q0PmVQq1PCm73dA==" workbookSaltValue="bQFBKgyITLyf5M94zSn/XQ==" workbookSpinCount="100000" lockStructure="1"/>
  <bookViews>
    <workbookView xWindow="-120" yWindow="-120" windowWidth="29040" windowHeight="17520" tabRatio="721" xr2:uid="{00000000-000D-0000-FFFF-FFFF00000000}"/>
  </bookViews>
  <sheets>
    <sheet name="Worksheets Home" sheetId="34" r:id="rId1"/>
    <sheet name="Most Programs" sheetId="15" r:id="rId2"/>
    <sheet name="DTI" sheetId="33" r:id="rId3"/>
    <sheet name="Data" sheetId="31" state="hidden" r:id="rId4"/>
  </sheets>
  <definedNames>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33" l="1"/>
  <c r="M13" i="15"/>
  <c r="I13" i="15"/>
  <c r="I13" i="33"/>
  <c r="G13" i="33" s="1"/>
  <c r="M13" i="33"/>
  <c r="O11" i="33"/>
  <c r="M11" i="33"/>
  <c r="K11" i="33"/>
  <c r="I11" i="33"/>
  <c r="O14" i="33"/>
  <c r="M14" i="33"/>
  <c r="K14" i="33"/>
  <c r="I14" i="33"/>
  <c r="I11" i="15"/>
  <c r="O12" i="33"/>
  <c r="M12" i="33"/>
  <c r="K12" i="33"/>
  <c r="I12" i="33"/>
  <c r="G23" i="33" l="1"/>
  <c r="O22" i="33"/>
  <c r="M22" i="33"/>
  <c r="K22" i="33"/>
  <c r="I22" i="33"/>
  <c r="O21" i="33"/>
  <c r="M21" i="33"/>
  <c r="K21" i="33"/>
  <c r="I21" i="33"/>
  <c r="O20" i="33"/>
  <c r="M20" i="33"/>
  <c r="K20" i="33"/>
  <c r="I20" i="33"/>
  <c r="O19" i="33"/>
  <c r="M19" i="33"/>
  <c r="K19" i="33"/>
  <c r="I19" i="33"/>
  <c r="O18" i="33"/>
  <c r="M18" i="33"/>
  <c r="K18" i="33"/>
  <c r="I18" i="33"/>
  <c r="G20" i="33" l="1"/>
  <c r="O15" i="33"/>
  <c r="G14" i="33"/>
  <c r="K15" i="33"/>
  <c r="G12" i="33"/>
  <c r="M15" i="33"/>
  <c r="I15" i="33"/>
  <c r="G21" i="33"/>
  <c r="I24" i="33"/>
  <c r="K24" i="33"/>
  <c r="M24" i="33"/>
  <c r="G11" i="33"/>
  <c r="O24" i="33"/>
  <c r="G24" i="33" l="1"/>
  <c r="K26" i="33"/>
  <c r="I26" i="33"/>
  <c r="O26" i="33"/>
  <c r="G15" i="33"/>
  <c r="M26" i="33"/>
  <c r="G26" i="33" l="1"/>
  <c r="O21" i="15"/>
  <c r="M21" i="15"/>
  <c r="K21" i="15"/>
  <c r="I21" i="15"/>
  <c r="O20" i="15"/>
  <c r="M20" i="15"/>
  <c r="K20" i="15"/>
  <c r="I20" i="15"/>
  <c r="O12" i="15" l="1"/>
  <c r="M12" i="15"/>
  <c r="K12" i="15"/>
  <c r="I12" i="15"/>
  <c r="O11" i="15"/>
  <c r="M11" i="15"/>
  <c r="K11" i="15"/>
  <c r="G21" i="15" l="1"/>
  <c r="G20" i="15"/>
  <c r="O22" i="15" l="1"/>
  <c r="O19" i="15"/>
  <c r="O18" i="15"/>
  <c r="M22" i="15"/>
  <c r="M19" i="15"/>
  <c r="M18" i="15"/>
  <c r="K22" i="15"/>
  <c r="K19" i="15"/>
  <c r="K18" i="15"/>
  <c r="I22" i="15"/>
  <c r="I19" i="15"/>
  <c r="I18" i="15"/>
  <c r="G23" i="15" l="1"/>
  <c r="M24" i="15" l="1"/>
  <c r="O15" i="15"/>
  <c r="M15" i="15"/>
  <c r="K15" i="15"/>
  <c r="G12" i="15"/>
  <c r="I15" i="15"/>
  <c r="G11" i="15"/>
  <c r="G24" i="15"/>
  <c r="O24" i="15" l="1"/>
  <c r="O26" i="15" s="1"/>
  <c r="M26" i="15"/>
  <c r="I24" i="15"/>
  <c r="I26" i="15" s="1"/>
  <c r="G15" i="15"/>
  <c r="G26" i="15" s="1"/>
  <c r="K24" i="15"/>
  <c r="K26" i="15" s="1"/>
</calcChain>
</file>

<file path=xl/sharedStrings.xml><?xml version="1.0" encoding="utf-8"?>
<sst xmlns="http://schemas.openxmlformats.org/spreadsheetml/2006/main" count="123" uniqueCount="66">
  <si>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</si>
  <si>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</si>
  <si>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</si>
  <si>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</si>
  <si>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</si>
  <si>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</si>
  <si>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</si>
  <si>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</si>
  <si>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</si>
  <si>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</si>
  <si>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</si>
  <si>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</si>
  <si>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DU Scholarships and Grants</t>
  </si>
  <si>
    <t>Payment(s) Made and/or Employer Reimbursements</t>
  </si>
  <si>
    <t>4 credits</t>
  </si>
  <si>
    <t>8 credits</t>
  </si>
  <si>
    <t>12 credits</t>
  </si>
  <si>
    <t>16 credits</t>
  </si>
  <si>
    <t>20 credits</t>
  </si>
  <si>
    <t>not enrolled</t>
  </si>
  <si>
    <t>How many credits will you take each quarter?</t>
  </si>
  <si>
    <t>Will you enroll in DU's Health Insurance Plan?</t>
  </si>
  <si>
    <t xml:space="preserve">Will you use DU's Health &amp; Counseling Services? </t>
  </si>
  <si>
    <r>
      <t>Tuition</t>
    </r>
    <r>
      <rPr>
        <vertAlign val="superscript"/>
        <sz val="11"/>
        <color rgb="FF000000"/>
        <rFont val="Calibri"/>
        <family val="2"/>
      </rPr>
      <t>1</t>
    </r>
  </si>
  <si>
    <r>
      <t xml:space="preserve">Financial Aid | University Hall 255 | Ph: 303-871-4020 | Fax: 303-871-2341 | </t>
    </r>
    <r>
      <rPr>
        <u/>
        <sz val="11"/>
        <color rgb="FF98002E"/>
        <rFont val="Calibri"/>
        <family val="2"/>
      </rPr>
      <t>finaid@du.edu</t>
    </r>
    <r>
      <rPr>
        <sz val="11"/>
        <color theme="1"/>
        <rFont val="Calibri"/>
        <family val="2"/>
        <scheme val="minor"/>
      </rPr>
      <t xml:space="preserve"> | </t>
    </r>
    <r>
      <rPr>
        <u/>
        <sz val="11"/>
        <color rgb="FF98002E"/>
        <rFont val="Calibri"/>
        <family val="2"/>
      </rPr>
      <t>www.du.edu/financialaid</t>
    </r>
  </si>
  <si>
    <t>Yes</t>
  </si>
  <si>
    <t>No</t>
  </si>
  <si>
    <t>Will you be enrolled in the following terms?</t>
  </si>
  <si>
    <t>Choose Your Program:</t>
  </si>
  <si>
    <t>All other programs</t>
  </si>
  <si>
    <t>Transportation &amp; Supply Chain Institute Programs</t>
  </si>
  <si>
    <r>
      <rPr>
        <b/>
        <i/>
        <sz val="11"/>
        <color theme="1"/>
        <rFont val="Calibri"/>
        <family val="2"/>
        <scheme val="minor"/>
      </rPr>
      <t>Note:</t>
    </r>
    <r>
      <rPr>
        <i/>
        <sz val="11"/>
        <color theme="1"/>
        <rFont val="Calibri"/>
        <family val="2"/>
        <scheme val="minor"/>
      </rPr>
      <t xml:space="preserve"> If you are in a program through the Transportation &amp; Supply Chain Institute, please use the worksheet on the next tab.</t>
    </r>
  </si>
  <si>
    <r>
      <t>Technology &amp; Program Fee</t>
    </r>
    <r>
      <rPr>
        <vertAlign val="superscript"/>
        <sz val="11"/>
        <color theme="1"/>
        <rFont val="Calibri"/>
        <family val="2"/>
      </rPr>
      <t>2</t>
    </r>
  </si>
  <si>
    <t>This worksheet automatically deducts the 1.057% origination fee from the Direct Unsubsidized loan amount. Most students who submit a FAFSA are eligible to borrow up to $20,500 in an unsubsidized loan per academic year.</t>
  </si>
  <si>
    <t>When did/will you start this program?</t>
  </si>
  <si>
    <t>Students in this program are charged a program fee and technology fee totaling $360 each quarter.</t>
  </si>
  <si>
    <t xml:space="preserve">2026-27 Estimated Billing Worksheet
Transportation &amp; Supply Chain Institute Programs </t>
  </si>
  <si>
    <t>FALL 2026:</t>
  </si>
  <si>
    <t>WINTER 2027:</t>
  </si>
  <si>
    <t>SPRING 2027:</t>
  </si>
  <si>
    <t>SUMMER 2027:</t>
  </si>
  <si>
    <t>FALL 2026</t>
  </si>
  <si>
    <t>WINTER 2027</t>
  </si>
  <si>
    <t>SPRING 2027</t>
  </si>
  <si>
    <t>SUMMER 2027</t>
  </si>
  <si>
    <t>2026-27 Estimated Billing Worksheet
Most College of Prof. Studies Master's and Certificate Programs</t>
  </si>
  <si>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</si>
  <si>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t xml:space="preserve"> Fall 2025</t>
  </si>
  <si>
    <t>Tuition for students who start their program in the fall of 2026 or later is $14,959 per quarter.</t>
  </si>
  <si>
    <t xml:space="preserve"> Fall 2024</t>
  </si>
  <si>
    <t>Fall 2026 or later</t>
  </si>
  <si>
    <r>
      <t>Direct Unsubsidized Loan</t>
    </r>
    <r>
      <rPr>
        <vertAlign val="superscript"/>
        <sz val="11"/>
        <color theme="1"/>
        <rFont val="Calibri"/>
        <family val="2"/>
      </rPr>
      <t>3</t>
    </r>
  </si>
  <si>
    <r>
      <t>Direct Graduate PLUS Loan</t>
    </r>
    <r>
      <rPr>
        <vertAlign val="superscript"/>
        <sz val="11"/>
        <color theme="1"/>
        <rFont val="Calibri"/>
        <family val="2"/>
      </rPr>
      <t>4</t>
    </r>
  </si>
  <si>
    <r>
      <t>Effective July 1, 2026, the Direct Graduate PLUS loan application process will be limited to existing borrowers who are eligible to apply under the</t>
    </r>
    <r>
      <rPr>
        <b/>
        <sz val="11"/>
        <color theme="1"/>
        <rFont val="Calibri"/>
        <family val="2"/>
        <scheme val="minor"/>
      </rPr>
      <t xml:space="preserve"> legacy loan provision</t>
    </r>
    <r>
      <rPr>
        <sz val="11"/>
        <color theme="1"/>
        <rFont val="Calibri"/>
        <family val="2"/>
        <scheme val="minor"/>
      </rPr>
      <t xml:space="preserve">.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</si>
  <si>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Tuition</t>
  </si>
  <si>
    <t>$</t>
  </si>
  <si>
    <r>
      <t>Will you enroll in DU's Health Insurance Plan?</t>
    </r>
    <r>
      <rPr>
        <vertAlign val="superscript"/>
        <sz val="11"/>
        <color theme="10"/>
        <rFont val="Calibri"/>
        <family val="2"/>
        <scheme val="minor"/>
      </rPr>
      <t>3</t>
    </r>
  </si>
  <si>
    <r>
      <t>Will you use DU's Health &amp; Counseling Services?</t>
    </r>
    <r>
      <rPr>
        <vertAlign val="superscript"/>
        <sz val="11"/>
        <color theme="10"/>
        <rFont val="Calibri"/>
        <family val="2"/>
        <scheme val="minor"/>
      </rPr>
      <t xml:space="preserve">3 </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</si>
  <si>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</si>
  <si>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</si>
  <si>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r>
      <rPr>
        <vertAlign val="superscript"/>
        <sz val="11"/>
        <color theme="1"/>
        <rFont val="Calibri"/>
        <family val="2"/>
        <scheme val="minor"/>
      </rPr>
      <t>3</t>
    </r>
    <r>
      <rPr>
        <sz val="11"/>
        <color theme="1"/>
        <rFont val="Calibri"/>
        <family val="2"/>
        <scheme val="minor"/>
      </rPr>
      <t>Students enrolled in online programs are not eligible for DU's Health Insurance Plan and Health Counseling Services.</t>
    </r>
  </si>
  <si>
    <r>
      <t>1</t>
    </r>
    <r>
      <rPr>
        <sz val="11"/>
        <color theme="1"/>
        <rFont val="Calibri"/>
        <family val="2"/>
        <scheme val="minor"/>
      </rPr>
      <t>Tuition for the 2026-2027 academic year is $816 per credit.</t>
    </r>
  </si>
  <si>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</si>
  <si>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5</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</si>
  <si>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r>
      <t xml:space="preserve">2026-27 Estimated Billing Worksheets
</t>
    </r>
    <r>
      <rPr>
        <b/>
        <i/>
        <sz val="16"/>
        <color rgb="FF000000"/>
        <rFont val="Calibri"/>
        <family val="2"/>
      </rPr>
      <t>College of Professional Studies Programs</t>
    </r>
  </si>
  <si>
    <r>
      <t>These worksheets are designed to help you estimate your invoices throughout the academic year.</t>
    </r>
    <r>
      <rPr>
        <b/>
        <sz val="11"/>
        <color rgb="FF000000"/>
        <rFont val="Calibri"/>
        <family val="2"/>
      </rPr>
      <t xml:space="preserve"> In order to complete a worksheet, you'll need a copy of your most recent 2026-2027 financial aid offer.</t>
    </r>
    <r>
      <rPr>
        <sz val="11"/>
        <color rgb="FF000000"/>
        <rFont val="Calibri"/>
        <family val="2"/>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</si>
</sst>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sz val="11"/>
      <color rgb="FF000000"/>
      <name val="Calibri"/>
      <family val="2"/>
      <scheme val="minor"/>
    </font>
    <font>
      <u/>
      <sz val="11"/>
      <color theme="10"/>
      <name val="Calibri"/>
      <family val="2"/>
      <scheme val="minor"/>
    </font>
    <font>
      <sz val="11"/>
      <color theme="1"/>
      <name val="Calibri"/>
      <family val="2"/>
    </font>
    <font>
      <sz val="11"/>
      <color rgb="FF000000"/>
      <name val="Calibri"/>
      <family val="2"/>
    </font>
    <font>
      <b/>
      <sz val="16"/>
      <color rgb="FF000000"/>
      <name val="Calibri"/>
      <family val="2"/>
    </font>
    <font>
      <b/>
      <i/>
      <sz val="16"/>
      <color rgb="FF000000"/>
      <name val="Calibri"/>
      <family val="2"/>
    </font>
    <font>
      <b/>
      <i/>
      <sz val="14"/>
      <color rgb="FF98002E"/>
      <name val="Calibri"/>
      <family val="2"/>
    </font>
    <font>
      <sz val="10"/>
      <color rgb="FF000000"/>
      <name val="Calibri"/>
      <family val="2"/>
    </font>
    <font>
      <b/>
      <sz val="11"/>
      <color rgb="FF000000"/>
      <name val="Calibri"/>
      <family val="2"/>
    </font>
    <font>
      <vertAlign val="superscript"/>
      <sz val="11"/>
      <color rgb="FF000000"/>
      <name val="Calibri"/>
      <family val="2"/>
    </font>
    <font>
      <u/>
      <sz val="11"/>
      <color rgb="FF0563C1"/>
      <name val="Calibri"/>
      <family val="2"/>
    </font>
    <font>
      <b/>
      <sz val="14"/>
      <color rgb="FF000000"/>
      <name val="Calibri"/>
      <family val="2"/>
    </font>
    <font>
      <b/>
      <sz val="12"/>
      <color rgb="FF000000"/>
      <name val="Calibri"/>
      <family val="2"/>
    </font>
    <font>
      <u/>
      <sz val="11"/>
      <color rgb="FF98002E"/>
      <name val="Calibri"/>
      <family val="2"/>
    </font>
    <font>
      <b/>
      <i/>
      <u/>
      <sz val="14"/>
      <color rgb="FF000000"/>
      <name val="Calibri"/>
      <family val="2"/>
    </font>
    <font>
      <i/>
      <sz val="11"/>
      <color theme="1"/>
      <name val="Calibri"/>
      <family val="2"/>
      <scheme val="minor"/>
    </font>
    <font>
      <b/>
      <i/>
      <sz val="11"/>
      <color theme="1"/>
      <name val="Calibri"/>
      <family val="2"/>
      <scheme val="minor"/>
    </font>
    <font>
      <vertAlign val="superscript"/>
      <sz val="11"/>
      <color theme="1"/>
      <name val="Calibri"/>
      <family val="2"/>
    </font>
    <font>
      <b/>
      <i/>
      <sz val="13.5"/>
      <color rgb="FF98002E"/>
      <name val="Calibri"/>
      <family val="2"/>
    </font>
    <font>
      <vertAlign val="superscript"/>
      <sz val="11"/>
      <color theme="10"/>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rgb="FFBDD7EE"/>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theme="4" tint="0.59996337778862885"/>
        <bgColor indexed="64"/>
      </patternFill>
    </fill>
  </fills>
  <borders count="14">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top/>
      <bottom style="dashed">
        <color indexed="64"/>
      </bottom>
      <diagonal/>
    </border>
    <border>
      <left/>
      <right style="dashed">
        <color indexed="64"/>
      </right>
      <top/>
      <bottom/>
      <diagonal/>
    </border>
    <border>
      <left/>
      <right style="dashed">
        <color indexed="64"/>
      </right>
      <top/>
      <bottom style="thin">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dotted">
        <color indexed="64"/>
      </right>
      <top style="dotted">
        <color indexed="64"/>
      </top>
      <bottom style="dotted">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112">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0" fontId="0" fillId="3" borderId="0" xfId="0" applyFill="1" applyAlignment="1">
      <alignment horizontal="left"/>
    </xf>
    <xf numFmtId="0" fontId="0" fillId="3" borderId="0" xfId="0" applyFill="1"/>
    <xf numFmtId="44" fontId="0" fillId="3" borderId="0" xfId="1" applyFont="1" applyFill="1"/>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0" borderId="0" xfId="1" applyFont="1" applyBorder="1"/>
    <xf numFmtId="0" fontId="0" fillId="0" borderId="0" xfId="0" applyAlignment="1">
      <alignment horizontal="left"/>
    </xf>
    <xf numFmtId="44" fontId="0" fillId="0" borderId="0" xfId="1" applyFont="1" applyFill="1" applyBorder="1"/>
    <xf numFmtId="0" fontId="2" fillId="0" borderId="1" xfId="0" applyFont="1" applyBorder="1"/>
    <xf numFmtId="44" fontId="2" fillId="0" borderId="1" xfId="1" applyFont="1" applyBorder="1"/>
    <xf numFmtId="0" fontId="0" fillId="0" borderId="0" xfId="0" applyAlignment="1">
      <alignment wrapText="1"/>
    </xf>
    <xf numFmtId="0" fontId="10"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8" xfId="1" applyFont="1" applyBorder="1" applyAlignment="1">
      <alignment horizontal="center"/>
    </xf>
    <xf numFmtId="0" fontId="2" fillId="0" borderId="0" xfId="0" applyFont="1" applyAlignment="1">
      <alignment horizontal="left"/>
    </xf>
    <xf numFmtId="44" fontId="0" fillId="3" borderId="3" xfId="1" applyFont="1" applyFill="1" applyBorder="1" applyProtection="1"/>
    <xf numFmtId="0" fontId="12" fillId="0" borderId="0" xfId="0" applyFont="1"/>
    <xf numFmtId="44" fontId="12" fillId="0" borderId="0" xfId="1" applyFont="1" applyFill="1" applyBorder="1"/>
    <xf numFmtId="0" fontId="12" fillId="0" borderId="1" xfId="0" applyFont="1" applyBorder="1"/>
    <xf numFmtId="0" fontId="14" fillId="0" borderId="1" xfId="0" applyFont="1" applyBorder="1" applyAlignment="1">
      <alignment horizontal="right" vertical="top" wrapText="1"/>
    </xf>
    <xf numFmtId="0" fontId="14" fillId="0" borderId="1" xfId="0" applyFont="1" applyBorder="1" applyAlignment="1">
      <alignment horizontal="right" vertical="top"/>
    </xf>
    <xf numFmtId="0" fontId="16" fillId="0" borderId="0" xfId="0" applyFont="1" applyAlignment="1">
      <alignment horizontal="left"/>
    </xf>
    <xf numFmtId="0" fontId="17" fillId="0" borderId="0" xfId="0" applyFont="1" applyAlignment="1">
      <alignment horizontal="left" wrapText="1" indent="1"/>
    </xf>
    <xf numFmtId="44" fontId="18" fillId="0" borderId="8" xfId="1" applyFont="1" applyFill="1" applyBorder="1" applyAlignment="1">
      <alignment horizontal="center"/>
    </xf>
    <xf numFmtId="0" fontId="13" fillId="4" borderId="6" xfId="0" applyFont="1" applyFill="1" applyBorder="1" applyAlignment="1" applyProtection="1">
      <alignment horizontal="center" vertical="center"/>
      <protection locked="0"/>
    </xf>
    <xf numFmtId="44" fontId="12" fillId="4" borderId="6" xfId="1"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8" fillId="0" borderId="2" xfId="0" applyFont="1" applyBorder="1"/>
    <xf numFmtId="0" fontId="12" fillId="0" borderId="2" xfId="0" applyFont="1" applyBorder="1"/>
    <xf numFmtId="44" fontId="18" fillId="0" borderId="2" xfId="1" applyFont="1" applyFill="1" applyBorder="1" applyAlignment="1">
      <alignment horizontal="center"/>
    </xf>
    <xf numFmtId="0" fontId="12" fillId="0" borderId="2" xfId="0" applyFont="1" applyBorder="1" applyAlignment="1">
      <alignment horizontal="center"/>
    </xf>
    <xf numFmtId="0" fontId="12" fillId="5" borderId="0" xfId="0" applyFont="1" applyFill="1" applyAlignment="1">
      <alignment horizontal="left"/>
    </xf>
    <xf numFmtId="0" fontId="12" fillId="5" borderId="0" xfId="0" applyFont="1" applyFill="1"/>
    <xf numFmtId="44" fontId="12" fillId="5" borderId="0" xfId="1" applyFont="1" applyFill="1" applyBorder="1"/>
    <xf numFmtId="0" fontId="12" fillId="0" borderId="0" xfId="0" applyFont="1" applyAlignment="1">
      <alignment horizontal="left"/>
    </xf>
    <xf numFmtId="0" fontId="12" fillId="4" borderId="4" xfId="0" applyFont="1" applyFill="1" applyBorder="1" applyProtection="1">
      <protection locked="0"/>
    </xf>
    <xf numFmtId="0" fontId="12" fillId="4" borderId="5" xfId="0" applyFont="1" applyFill="1" applyBorder="1" applyProtection="1">
      <protection locked="0"/>
    </xf>
    <xf numFmtId="0" fontId="12" fillId="0" borderId="3" xfId="0" applyFont="1" applyBorder="1"/>
    <xf numFmtId="44" fontId="12" fillId="0" borderId="3" xfId="1" applyFont="1" applyFill="1" applyBorder="1"/>
    <xf numFmtId="0" fontId="18" fillId="0" borderId="0" xfId="0" applyFont="1"/>
    <xf numFmtId="44" fontId="18" fillId="0" borderId="0" xfId="1" applyFont="1" applyFill="1" applyBorder="1"/>
    <xf numFmtId="44" fontId="12" fillId="4" borderId="6" xfId="1" applyFont="1" applyFill="1" applyBorder="1" applyProtection="1">
      <protection locked="0"/>
    </xf>
    <xf numFmtId="44" fontId="12" fillId="4" borderId="4" xfId="1" applyFont="1" applyFill="1" applyBorder="1" applyProtection="1">
      <protection locked="0"/>
    </xf>
    <xf numFmtId="44" fontId="12" fillId="4" borderId="4" xfId="0" applyNumberFormat="1" applyFont="1" applyFill="1" applyBorder="1" applyProtection="1">
      <protection locked="0"/>
    </xf>
    <xf numFmtId="44" fontId="12" fillId="5" borderId="3" xfId="1" applyFont="1" applyFill="1" applyBorder="1"/>
    <xf numFmtId="0" fontId="12" fillId="5" borderId="3" xfId="0" applyFont="1" applyFill="1" applyBorder="1"/>
    <xf numFmtId="44" fontId="12" fillId="4" borderId="5" xfId="1" applyFont="1" applyFill="1" applyBorder="1" applyProtection="1">
      <protection locked="0"/>
    </xf>
    <xf numFmtId="44" fontId="12" fillId="5" borderId="3" xfId="1" applyFont="1" applyFill="1" applyBorder="1" applyProtection="1">
      <protection locked="0"/>
    </xf>
    <xf numFmtId="0" fontId="21" fillId="0" borderId="7" xfId="0" applyFont="1" applyBorder="1"/>
    <xf numFmtId="0" fontId="12" fillId="0" borderId="7" xfId="0" applyFont="1" applyBorder="1"/>
    <xf numFmtId="44" fontId="22" fillId="0" borderId="7" xfId="1" applyFont="1" applyFill="1" applyBorder="1"/>
    <xf numFmtId="0" fontId="22" fillId="0" borderId="7" xfId="0" applyFont="1" applyBorder="1"/>
    <xf numFmtId="46" fontId="0" fillId="0" borderId="0" xfId="0" applyNumberFormat="1" applyAlignment="1">
      <alignment horizontal="right"/>
    </xf>
    <xf numFmtId="0" fontId="0" fillId="0" borderId="0" xfId="0" applyAlignment="1">
      <alignment horizontal="right"/>
    </xf>
    <xf numFmtId="44" fontId="12" fillId="3" borderId="0" xfId="1" applyFont="1" applyFill="1" applyBorder="1"/>
    <xf numFmtId="0" fontId="12" fillId="6" borderId="0" xfId="0" applyFont="1" applyFill="1"/>
    <xf numFmtId="44" fontId="12" fillId="6" borderId="0" xfId="1" applyFont="1" applyFill="1" applyBorder="1"/>
    <xf numFmtId="0" fontId="12" fillId="0" borderId="0" xfId="0" applyFont="1" applyProtection="1">
      <protection locked="0"/>
    </xf>
    <xf numFmtId="0" fontId="24" fillId="0" borderId="0" xfId="0" applyFont="1" applyAlignment="1">
      <alignment horizontal="left" vertical="top" indent="3"/>
    </xf>
    <xf numFmtId="0" fontId="20" fillId="0" borderId="0" xfId="2" applyFont="1" applyFill="1" applyBorder="1" applyAlignment="1" applyProtection="1">
      <alignment horizontal="left" indent="5"/>
    </xf>
    <xf numFmtId="0" fontId="11" fillId="0" borderId="0" xfId="2" applyFill="1" applyBorder="1" applyAlignment="1" applyProtection="1">
      <alignment horizontal="left" indent="5"/>
      <protection locked="0"/>
    </xf>
    <xf numFmtId="0" fontId="14" fillId="0" borderId="0" xfId="0" applyFont="1" applyAlignment="1">
      <alignment horizontal="right" vertical="top" wrapText="1"/>
    </xf>
    <xf numFmtId="0" fontId="14" fillId="0" borderId="0" xfId="0" applyFont="1" applyAlignment="1">
      <alignment horizontal="right" vertical="top"/>
    </xf>
    <xf numFmtId="0" fontId="27" fillId="0" borderId="0" xfId="0" applyFont="1" applyAlignment="1">
      <alignment vertical="top"/>
    </xf>
    <xf numFmtId="0" fontId="28" fillId="0" borderId="0" xfId="0" applyFont="1" applyAlignment="1">
      <alignment horizontal="left"/>
    </xf>
    <xf numFmtId="0" fontId="11" fillId="0" borderId="0" xfId="2" applyAlignment="1">
      <alignment horizontal="left"/>
    </xf>
    <xf numFmtId="44" fontId="0" fillId="2" borderId="13" xfId="1" applyFont="1" applyFill="1" applyBorder="1"/>
    <xf numFmtId="44" fontId="2" fillId="0" borderId="0" xfId="1" applyFont="1" applyBorder="1"/>
    <xf numFmtId="44" fontId="0" fillId="0" borderId="3" xfId="1" applyFont="1" applyFill="1" applyBorder="1"/>
    <xf numFmtId="0" fontId="14" fillId="0" borderId="3" xfId="0" applyFont="1" applyBorder="1" applyAlignment="1">
      <alignment horizontal="right" wrapText="1"/>
    </xf>
    <xf numFmtId="0" fontId="14" fillId="0" borderId="3" xfId="0" applyFont="1" applyBorder="1" applyAlignment="1">
      <alignment horizontal="right"/>
    </xf>
    <xf numFmtId="0" fontId="13" fillId="0" borderId="0" xfId="0" applyFont="1" applyAlignment="1">
      <alignment horizontal="left" vertical="center" wrapText="1"/>
    </xf>
    <xf numFmtId="0" fontId="12" fillId="0" borderId="1" xfId="0" applyFont="1" applyBorder="1" applyAlignment="1">
      <alignment horizontal="center"/>
    </xf>
    <xf numFmtId="0" fontId="0" fillId="0" borderId="0" xfId="0" applyAlignment="1">
      <alignment horizontal="left" wrapText="1"/>
    </xf>
    <xf numFmtId="0" fontId="0" fillId="0" borderId="1" xfId="0" applyBorder="1" applyAlignment="1">
      <alignment horizontal="center"/>
    </xf>
    <xf numFmtId="0" fontId="3" fillId="0" borderId="3" xfId="0" applyFont="1" applyBorder="1" applyAlignment="1">
      <alignment horizontal="right" wrapText="1"/>
    </xf>
    <xf numFmtId="0" fontId="0" fillId="3" borderId="0" xfId="0" applyFill="1" applyAlignment="1">
      <alignment horizontal="center"/>
    </xf>
    <xf numFmtId="0" fontId="0" fillId="3" borderId="3" xfId="0" applyFill="1" applyBorder="1" applyAlignment="1">
      <alignment horizontal="left"/>
    </xf>
    <xf numFmtId="0" fontId="5" fillId="0" borderId="0" xfId="0" applyFont="1" applyAlignment="1">
      <alignment horizontal="left" wrapText="1"/>
    </xf>
    <xf numFmtId="0" fontId="0" fillId="0" borderId="0" xfId="0" applyAlignment="1">
      <alignment horizontal="left"/>
    </xf>
    <xf numFmtId="0" fontId="25" fillId="0" borderId="0" xfId="0" applyFont="1" applyAlignment="1">
      <alignment horizontal="left" vertical="top" wrapText="1"/>
    </xf>
    <xf numFmtId="0" fontId="12" fillId="0" borderId="0" xfId="0" applyFont="1" applyAlignment="1">
      <alignment horizontal="left" wrapText="1"/>
    </xf>
    <xf numFmtId="0" fontId="12" fillId="5" borderId="0" xfId="0" applyFont="1" applyFill="1" applyAlignment="1">
      <alignment horizontal="center"/>
    </xf>
    <xf numFmtId="0" fontId="20" fillId="5" borderId="0" xfId="2" applyFont="1" applyFill="1" applyBorder="1" applyAlignment="1">
      <alignment horizontal="left"/>
    </xf>
    <xf numFmtId="0" fontId="20" fillId="5" borderId="9" xfId="2" applyFont="1" applyFill="1" applyBorder="1" applyAlignment="1">
      <alignment horizontal="left"/>
    </xf>
    <xf numFmtId="0" fontId="20" fillId="0" borderId="3" xfId="2" applyFont="1" applyFill="1" applyBorder="1" applyAlignment="1">
      <alignment horizontal="left"/>
    </xf>
    <xf numFmtId="0" fontId="20" fillId="0" borderId="10" xfId="2" applyFont="1" applyFill="1" applyBorder="1" applyAlignment="1">
      <alignment horizontal="left"/>
    </xf>
    <xf numFmtId="0" fontId="12" fillId="5" borderId="3" xfId="0" applyFont="1" applyFill="1" applyBorder="1" applyAlignment="1">
      <alignment horizontal="left"/>
    </xf>
    <xf numFmtId="0" fontId="13" fillId="0" borderId="0" xfId="0" applyFont="1" applyAlignment="1">
      <alignment horizontal="left" wrapText="1"/>
    </xf>
    <xf numFmtId="0" fontId="12" fillId="7" borderId="11" xfId="0" applyFont="1" applyFill="1" applyBorder="1" applyAlignment="1" applyProtection="1">
      <alignment horizontal="center"/>
      <protection locked="0"/>
    </xf>
    <xf numFmtId="0" fontId="12" fillId="7" borderId="12" xfId="0" applyFont="1" applyFill="1" applyBorder="1" applyAlignment="1" applyProtection="1">
      <alignment horizont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1</xdr:col>
      <xdr:colOff>1877074</xdr:colOff>
      <xdr:row>1</xdr:row>
      <xdr:rowOff>542925</xdr:rowOff>
    </xdr:to>
    <xdr:pic>
      <xdr:nvPicPr>
        <xdr:cNvPr id="3" name="Picture 2">
          <a:extLst>
            <a:ext uri="{FF2B5EF4-FFF2-40B4-BE49-F238E27FC236}">
              <a16:creationId xmlns:a16="http://schemas.microsoft.com/office/drawing/2014/main" id="{CE292CEC-743D-44FA-83FB-66278401AC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298570"/>
          <a:ext cx="1877075" cy="434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110276</xdr:rowOff>
    </xdr:from>
    <xdr:to>
      <xdr:col>3</xdr:col>
      <xdr:colOff>563102</xdr:colOff>
      <xdr:row>1</xdr:row>
      <xdr:rowOff>514349</xdr:rowOff>
    </xdr:to>
    <xdr:pic>
      <xdr:nvPicPr>
        <xdr:cNvPr id="4" name="Picture 3">
          <a:extLst>
            <a:ext uri="{FF2B5EF4-FFF2-40B4-BE49-F238E27FC236}">
              <a16:creationId xmlns:a16="http://schemas.microsoft.com/office/drawing/2014/main" id="{68526E73-4172-4AFB-94C5-2CCEA3393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00776"/>
          <a:ext cx="1744202" cy="4040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2FF2-1BCC-4CFF-A29D-047534C9EBB1}">
  <dimension ref="A1:D15"/>
  <sheetViews>
    <sheetView showGridLines="0" showRowColHeaders="0" tabSelected="1" workbookViewId="0">
      <selection activeCell="B6" sqref="B6"/>
    </sheetView>
  </sheetViews>
  <sheetFormatPr defaultColWidth="8.85546875" defaultRowHeight="15" x14ac:dyDescent="0.25"/>
  <cols>
    <col min="1" max="1" width="4.140625" style="37" customWidth="1"/>
    <col min="2" max="2" width="74.85546875" style="37" customWidth="1"/>
    <col min="3" max="3" width="12.85546875" style="38" customWidth="1"/>
    <col min="4" max="4" width="26.42578125" style="37" customWidth="1"/>
    <col min="5" max="16384" width="8.85546875" style="37"/>
  </cols>
  <sheetData>
    <row r="1" spans="1:4" x14ac:dyDescent="0.25">
      <c r="A1" s="78"/>
    </row>
    <row r="2" spans="1:4" ht="46.5" customHeight="1" x14ac:dyDescent="0.35">
      <c r="B2" s="90" t="s">
        <v>64</v>
      </c>
      <c r="C2" s="91"/>
      <c r="D2" s="91"/>
    </row>
    <row r="3" spans="1:4" ht="21" x14ac:dyDescent="0.25">
      <c r="B3" s="39"/>
      <c r="C3" s="41"/>
      <c r="D3" s="41"/>
    </row>
    <row r="4" spans="1:4" ht="66.75" customHeight="1" x14ac:dyDescent="0.25">
      <c r="B4" s="92" t="s">
        <v>65</v>
      </c>
      <c r="C4" s="92"/>
      <c r="D4" s="92"/>
    </row>
    <row r="5" spans="1:4" x14ac:dyDescent="0.25">
      <c r="C5" s="37"/>
    </row>
    <row r="6" spans="1:4" ht="18.75" x14ac:dyDescent="0.25">
      <c r="B6" s="79" t="s">
        <v>28</v>
      </c>
      <c r="C6" s="37"/>
    </row>
    <row r="7" spans="1:4" x14ac:dyDescent="0.25">
      <c r="B7" s="81" t="s">
        <v>30</v>
      </c>
      <c r="C7" s="37"/>
    </row>
    <row r="8" spans="1:4" x14ac:dyDescent="0.25">
      <c r="B8" s="81" t="s">
        <v>29</v>
      </c>
    </row>
    <row r="9" spans="1:4" x14ac:dyDescent="0.25">
      <c r="B9" s="80"/>
    </row>
    <row r="10" spans="1:4" x14ac:dyDescent="0.25">
      <c r="B10" s="80"/>
    </row>
    <row r="11" spans="1:4" x14ac:dyDescent="0.25">
      <c r="B11" s="80"/>
    </row>
    <row r="15" spans="1:4" x14ac:dyDescent="0.25">
      <c r="B15" s="93" t="s">
        <v>24</v>
      </c>
      <c r="C15" s="93"/>
      <c r="D15" s="93"/>
    </row>
  </sheetData>
  <sheetProtection algorithmName="SHA-512" hashValue="+DRO+IPPWSAJKNBM0r4105iQzLbLMRKKjQXuZiSsr1UdLFKZIYexVtFolb4SPEDxB9gSs8LvWRvDjzMI9oyong==" saltValue="1J7BaCT6IhMRsgcYVj+s4A==" spinCount="100000" sheet="1" objects="1" scenarios="1"/>
  <mergeCells count="3">
    <mergeCell ref="B2:D2"/>
    <mergeCell ref="B4:D4"/>
    <mergeCell ref="B15:D15"/>
  </mergeCells>
  <hyperlinks>
    <hyperlink ref="B7" location="DTI!A1" display="Transportation &amp; Supply Chain Institute Programs" xr:uid="{8BA4728A-D0B7-4ABB-A39E-06B0CCCA4304}"/>
    <hyperlink ref="B8" location="'Most Programs'!A1" display="All other programs" xr:uid="{5C03CDDF-AA1D-45B5-BA28-17BF36E737A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6"/>
  <sheetViews>
    <sheetView showGridLines="0" showRowColHeaders="0" showRuler="0" zoomScaleNormal="100" workbookViewId="0">
      <selection activeCell="I7" sqref="I7"/>
    </sheetView>
  </sheetViews>
  <sheetFormatPr defaultColWidth="8.85546875" defaultRowHeight="15" x14ac:dyDescent="0.25"/>
  <cols>
    <col min="1" max="1" width="4.140625" customWidth="1"/>
    <col min="4" max="4" width="26.425781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96" t="s">
        <v>45</v>
      </c>
      <c r="H2" s="96"/>
      <c r="I2" s="96"/>
      <c r="J2" s="96"/>
      <c r="K2" s="96"/>
      <c r="L2" s="96"/>
      <c r="M2" s="96"/>
      <c r="N2" s="96"/>
      <c r="O2" s="96"/>
    </row>
    <row r="3" spans="2:15" ht="11.1" customHeight="1" x14ac:dyDescent="0.25">
      <c r="B3" s="17"/>
      <c r="C3" s="17"/>
      <c r="D3" s="17"/>
      <c r="E3" s="17"/>
      <c r="F3" s="17"/>
      <c r="G3" s="18"/>
      <c r="H3" s="19"/>
      <c r="I3" s="19"/>
      <c r="J3" s="19"/>
      <c r="K3" s="19"/>
      <c r="L3" s="19"/>
      <c r="M3" s="19"/>
      <c r="N3" s="19"/>
      <c r="O3" s="19"/>
    </row>
    <row r="4" spans="2:15" ht="30" customHeight="1" x14ac:dyDescent="0.25">
      <c r="B4" s="101" t="s">
        <v>31</v>
      </c>
      <c r="C4" s="101"/>
      <c r="D4" s="101"/>
      <c r="E4" s="101"/>
      <c r="F4" s="101"/>
      <c r="G4" s="101"/>
      <c r="H4" s="101"/>
      <c r="I4" s="101"/>
      <c r="J4" s="101"/>
      <c r="K4" s="101"/>
      <c r="L4" s="101"/>
      <c r="M4" s="101"/>
      <c r="N4" s="101"/>
      <c r="O4" s="101"/>
    </row>
    <row r="5" spans="2:15" ht="9" customHeight="1" x14ac:dyDescent="0.25"/>
    <row r="6" spans="2:15" ht="15" customHeight="1" x14ac:dyDescent="0.25">
      <c r="I6" s="34" t="s">
        <v>37</v>
      </c>
      <c r="K6" s="34" t="s">
        <v>38</v>
      </c>
      <c r="L6" s="25"/>
      <c r="M6" s="34" t="s">
        <v>39</v>
      </c>
      <c r="N6" s="25"/>
      <c r="O6" s="34" t="s">
        <v>40</v>
      </c>
    </row>
    <row r="7" spans="2:15" ht="18" customHeight="1" x14ac:dyDescent="0.3">
      <c r="C7" s="6" t="s">
        <v>20</v>
      </c>
      <c r="E7" s="24"/>
      <c r="F7" s="24"/>
      <c r="G7" s="24"/>
      <c r="H7" s="24"/>
      <c r="I7" s="31" t="s">
        <v>19</v>
      </c>
      <c r="K7" s="32" t="s">
        <v>19</v>
      </c>
      <c r="L7"/>
      <c r="M7" s="33" t="s">
        <v>19</v>
      </c>
      <c r="N7"/>
      <c r="O7" s="33" t="s">
        <v>19</v>
      </c>
    </row>
    <row r="8" spans="2:15" ht="18.75" customHeight="1" x14ac:dyDescent="0.25"/>
    <row r="9" spans="2:15" ht="15.75" thickBot="1" x14ac:dyDescent="0.3">
      <c r="B9" s="1" t="s">
        <v>4</v>
      </c>
      <c r="C9" s="2"/>
      <c r="D9" s="2"/>
      <c r="E9" s="2"/>
      <c r="F9" s="2"/>
      <c r="G9" s="4" t="s">
        <v>2</v>
      </c>
      <c r="H9" s="3"/>
      <c r="I9" s="4" t="s">
        <v>41</v>
      </c>
      <c r="J9" s="3"/>
      <c r="K9" s="4" t="s">
        <v>42</v>
      </c>
      <c r="L9" s="4"/>
      <c r="M9" s="4" t="s">
        <v>43</v>
      </c>
      <c r="N9" s="4"/>
      <c r="O9" s="4" t="s">
        <v>44</v>
      </c>
    </row>
    <row r="10" spans="2:15" ht="9" customHeight="1" x14ac:dyDescent="0.25"/>
    <row r="11" spans="2:15" ht="21.75" customHeight="1" x14ac:dyDescent="0.25">
      <c r="B11" s="8" t="s">
        <v>0</v>
      </c>
      <c r="C11" s="97"/>
      <c r="D11" s="97"/>
      <c r="E11" s="9"/>
      <c r="F11" s="9"/>
      <c r="G11" s="10">
        <f>I11+K11+M11+O11</f>
        <v>0</v>
      </c>
      <c r="H11" s="9"/>
      <c r="I11" s="10">
        <f>VLOOKUP(I7,Data!A2:B21,2,FALSE)</f>
        <v>0</v>
      </c>
      <c r="J11" s="9"/>
      <c r="K11" s="10">
        <f>VLOOKUP(K7,Data!A2:B21,2,FALSE)</f>
        <v>0</v>
      </c>
      <c r="L11" s="10"/>
      <c r="M11" s="10">
        <f>VLOOKUP(M7,Data!A2:B21,2,FALSE)</f>
        <v>0</v>
      </c>
      <c r="N11" s="10"/>
      <c r="O11" s="10">
        <f>VLOOKUP(O7,Data!A2:B21,2,FALSE)</f>
        <v>0</v>
      </c>
    </row>
    <row r="12" spans="2:15" ht="21.75" customHeight="1" x14ac:dyDescent="0.25">
      <c r="B12" s="26" t="s">
        <v>1</v>
      </c>
      <c r="G12" s="27">
        <f>I12+K12+M12+O12</f>
        <v>0</v>
      </c>
      <c r="I12" s="27">
        <f>VLOOKUP(I7,Data!A2:C21,3,FALSE)</f>
        <v>0</v>
      </c>
      <c r="K12" s="27">
        <f>VLOOKUP(K7,Data!A2:C21,3,FALSE)</f>
        <v>0</v>
      </c>
      <c r="L12" s="27"/>
      <c r="M12" s="27">
        <f>VLOOKUP(M7,Data!A2:C21,3,FALSE)</f>
        <v>0</v>
      </c>
      <c r="N12" s="27"/>
      <c r="O12" s="27">
        <f>VLOOKUP(O7,Data!A2:C21,3,FALSE)</f>
        <v>0</v>
      </c>
    </row>
    <row r="13" spans="2:15" ht="21.75" customHeight="1" x14ac:dyDescent="0.25">
      <c r="B13" s="86" t="s">
        <v>56</v>
      </c>
      <c r="E13" s="87" t="s">
        <v>26</v>
      </c>
      <c r="G13" s="27" t="s">
        <v>55</v>
      </c>
      <c r="I13" s="27">
        <f>IF(AND(E13="Yes", I7="Yes"), (VLOOKUP(E13, Data!A24:C25, 2, FALSE)), 0)</f>
        <v>0</v>
      </c>
      <c r="K13" s="27" t="s">
        <v>55</v>
      </c>
      <c r="L13" s="27"/>
      <c r="M13" s="27">
        <f>IF(AND(E13="Yes", I7="Yes"), (VLOOKUP(E13, Data!A24:C25, 2, FALSE)), 0)</f>
        <v>0</v>
      </c>
      <c r="N13" s="27"/>
      <c r="O13" s="27" t="s">
        <v>55</v>
      </c>
    </row>
    <row r="14" spans="2:15" ht="21.75" customHeight="1" x14ac:dyDescent="0.25">
      <c r="B14" s="86" t="s">
        <v>57</v>
      </c>
      <c r="E14" s="87" t="s">
        <v>26</v>
      </c>
      <c r="G14" s="89" t="s">
        <v>55</v>
      </c>
      <c r="I14" s="27" t="s">
        <v>55</v>
      </c>
      <c r="K14" s="27" t="s">
        <v>55</v>
      </c>
      <c r="L14" s="27"/>
      <c r="M14" s="27" t="s">
        <v>55</v>
      </c>
      <c r="N14" s="27"/>
      <c r="O14" s="27" t="s">
        <v>55</v>
      </c>
    </row>
    <row r="15" spans="2:15" ht="21.75" customHeight="1" x14ac:dyDescent="0.25">
      <c r="B15" s="17"/>
      <c r="C15" s="28" t="s">
        <v>3</v>
      </c>
      <c r="D15" s="17"/>
      <c r="E15" s="17"/>
      <c r="F15" s="17"/>
      <c r="G15" s="88">
        <f>SUM(G11:G12)</f>
        <v>0</v>
      </c>
      <c r="H15" s="17"/>
      <c r="I15" s="29">
        <f>SUM(I11:I12)</f>
        <v>0</v>
      </c>
      <c r="J15" s="17"/>
      <c r="K15" s="29">
        <f>SUM(K11:K12)</f>
        <v>0</v>
      </c>
      <c r="L15" s="29"/>
      <c r="M15" s="29">
        <f>SUM(M11:M12)</f>
        <v>0</v>
      </c>
      <c r="N15" s="29"/>
      <c r="O15" s="29">
        <f>SUM(O11:O12)</f>
        <v>0</v>
      </c>
    </row>
    <row r="16" spans="2:15" ht="24" customHeight="1" x14ac:dyDescent="0.25"/>
    <row r="17" spans="2:15" ht="15.75" thickBot="1" x14ac:dyDescent="0.3">
      <c r="B17" s="1" t="s">
        <v>8</v>
      </c>
      <c r="C17" s="2"/>
      <c r="D17" s="2"/>
      <c r="E17" s="2"/>
      <c r="F17" s="2"/>
      <c r="G17" s="4" t="s">
        <v>2</v>
      </c>
      <c r="H17" s="3"/>
      <c r="I17" s="4" t="s">
        <v>41</v>
      </c>
      <c r="J17" s="3"/>
      <c r="K17" s="4" t="s">
        <v>42</v>
      </c>
      <c r="L17" s="4"/>
      <c r="M17" s="4" t="s">
        <v>43</v>
      </c>
      <c r="N17" s="4"/>
      <c r="O17" s="4" t="s">
        <v>44</v>
      </c>
    </row>
    <row r="18" spans="2:15" ht="21.75" customHeight="1" x14ac:dyDescent="0.25">
      <c r="B18" t="s">
        <v>12</v>
      </c>
      <c r="G18" s="13"/>
      <c r="I18" s="5">
        <f>IF((AND(I7&lt;&gt;"not enrolled",K7&lt;&gt;"not enrolled",M7&lt;&gt;"not enrolled",O7&lt;&gt;"not enrolled")),(G18/4), IF((AND(I7&lt;&gt;"not enrolled",K7&lt;&gt;"not enrolled",M7&lt;&gt;"not enrolled",O7="not enrolled")),(G18/3), IF((AND(I7&lt;&gt;"not enrolled",K7&lt;&gt;"not enrolled",M7="not enrolled",O7="not enrolled")),(G18/2), IF((AND(I7&lt;&gt;"not enrolled",K7="not enrolled",M7="not enrolled",O7="not enrolled")),(G18/1), 0))))</f>
        <v>0</v>
      </c>
      <c r="K18" s="5">
        <f>IF((AND(I7&lt;&gt;"not enrolled",K7&lt;&gt;"not enrolled",M7&lt;&gt;"not enrolled",O7&lt;&gt;"not enrolled")),(G18/4), IF((AND(I7&lt;&gt;"not enrolled",K7&lt;&gt;"not enrolled",M7&lt;&gt;"not enrolled",O7="not enrolled")),(G18/3), IF((AND(I7="not enrolled",K7&lt;&gt;"not enrolled",M7&lt;&gt;"not enrolled",O7&lt;&gt;"not enrolled")),(G18/3), IF((AND(I7&lt;&gt;"not enrolled",K7&lt;&gt;"not enrolled",M7="not enrolled",O7="not enrolled")),(G18/2), 0))))</f>
        <v>0</v>
      </c>
      <c r="M18" s="5">
        <f>IF((AND(I7&lt;&gt;"not enrolled",K7&lt;&gt;"not enrolled",M7&lt;&gt;"not enrolled",O7&lt;&gt;"not enrolled")),(G18/4), IF((AND(I7&lt;&gt;"not enrolled",K7&lt;&gt;"not enrolled",M7&lt;&gt;"not enrolled",O7="not enrolled")),(G18/3), IF((AND(I7="not enrolled",K7&lt;&gt;"not enrolled",M7&lt;&gt;"not enrolled",O7&lt;&gt;"not enrolled")),(G18/3), IF((AND(I7="not enrolled",K7="not enrolled",M7&lt;&gt;"not enrolled",O7&lt;&gt;"not enrolled")),(G18/2), 0))))</f>
        <v>0</v>
      </c>
      <c r="O18" s="5">
        <f>IF((AND(I7&lt;&gt;"not enrolled",K7&lt;&gt;"not enrolled",M7&lt;&gt;"not enrolled",O7&lt;&gt;"not enrolled")),(G18/4), IF((AND(I7="not enrolled",K7&lt;&gt;"not enrolled",M7&lt;&gt;"not enrolled",O7&lt;&gt;"not enrolled")),(G18/3), IF((AND(I7="not enrolled",K7="not enrolled",M7&lt;&gt;"not enrolled",O7&lt;&gt;"not enrolled")),(G18/2),  IF((AND(I7="not enrolled",K7="not enrolled",M7="not enrolled",O7&lt;&gt;"not enrolled")),(G18), 0))))</f>
        <v>0</v>
      </c>
    </row>
    <row r="19" spans="2:15" ht="21.75" customHeight="1" x14ac:dyDescent="0.25">
      <c r="B19" s="9" t="s">
        <v>5</v>
      </c>
      <c r="C19" s="9"/>
      <c r="D19" s="9"/>
      <c r="E19" s="9"/>
      <c r="F19" s="9"/>
      <c r="G19" s="14"/>
      <c r="H19" s="9"/>
      <c r="I19" s="10">
        <f>IF((AND(I7&lt;&gt;"not enrolled",K7&lt;&gt;"not enrolled",M7&lt;&gt;"not enrolled",O7&lt;&gt;"not enrolled")),(G19/4), IF((AND(I7&lt;&gt;"not enrolled",K7&lt;&gt;"not enrolled",M7&lt;&gt;"not enrolled",O7="not enrolled")),(G19/3), IF((AND(I7&lt;&gt;"not enrolled",K7&lt;&gt;"not enrolled",M7="not enrolled",O7="not enrolled")),(G19/2), IF((AND(I7&lt;&gt;"not enrolled",K7="not enrolled",M7="not enrolled",O7="not enrolled")),(G19/1), 0))))</f>
        <v>0</v>
      </c>
      <c r="J19" s="9"/>
      <c r="K19" s="10">
        <f>IF((AND(I7&lt;&gt;"not enrolled",K7&lt;&gt;"not enrolled",M7&lt;&gt;"not enrolled",O7&lt;&gt;"not enrolled")),(G19/4), IF((AND(I7&lt;&gt;"not enrolled",K7&lt;&gt;"not enrolled",M7&lt;&gt;"not enrolled",O7="not enrolled")),(G19/3), IF((AND(I7="not enrolled",K7&lt;&gt;"not enrolled",M7&lt;&gt;"not enrolled",O7&lt;&gt;"not enrolled")),(G19/3), IF((AND(I7&lt;&gt;"not enrolled",K7&lt;&gt;"not enrolled",M7="not enrolled",O7="not enrolled")),(G19/2), 0))))</f>
        <v>0</v>
      </c>
      <c r="L19" s="10"/>
      <c r="M19" s="10">
        <f>IF((AND(I7&lt;&gt;"not enrolled",K7&lt;&gt;"not enrolled",M7&lt;&gt;"not enrolled",O7&lt;&gt;"not enrolled")),(G19/4), IF((AND(I7&lt;&gt;"not enrolled",K7&lt;&gt;"not enrolled",M7&lt;&gt;"not enrolled",O7="not enrolled")),(G19/3), IF((AND(I7="not enrolled",K7&lt;&gt;"not enrolled",M7&lt;&gt;"not enrolled",O7&lt;&gt;"not enrolled")),(G19/3), IF((AND(I7="not enrolled",K7="not enrolled",M7&lt;&gt;"not enrolled",O7&lt;&gt;"not enrolled")),(G19/2), 0))))</f>
        <v>0</v>
      </c>
      <c r="N19" s="10"/>
      <c r="O19" s="10">
        <f>IF((AND(I7&lt;&gt;"not enrolled",K7&lt;&gt;"not enrolled",M7&lt;&gt;"not enrolled",O7&lt;&gt;"not enrolled")),(G19/4), IF((AND(I7="not enrolled",K7&lt;&gt;"not enrolled",M7&lt;&gt;"not enrolled",O7&lt;&gt;"not enrolled")),(G19/3), IF((AND(I7="not enrolled",K7="not enrolled",M7&lt;&gt;"not enrolled",O7&lt;&gt;"not enrolled")),(G19/2),  IF((AND(I7="not enrolled",K7="not enrolled",M7="not enrolled",O7&lt;&gt;"not enrolled")),(G19), 0))))</f>
        <v>0</v>
      </c>
    </row>
    <row r="20" spans="2:15" ht="21.75" customHeight="1" x14ac:dyDescent="0.25">
      <c r="B20" t="s">
        <v>58</v>
      </c>
      <c r="E20" s="15"/>
      <c r="G20" s="5">
        <f>SUM(I20,K20,M20,O20)</f>
        <v>0</v>
      </c>
      <c r="I20" s="5">
        <f>IF((AND(I7&lt;&gt;"not enrolled",K7&lt;&gt;"not enrolled",M7&lt;&gt;"not enrolled",O7&lt;&gt;"not enrolled")),ROUND(((E20-(E20*0.01057))/4),0), IF((AND(I7&lt;&gt;"not enrolled",K7&lt;&gt;"not enrolled",M7&lt;&gt;"not enrolled",O7="not enrolled")),ROUND(((E20-(E20*0.01057))/3),0), IF((AND(I7&lt;&gt;"not enrolled",K7&lt;&gt;"not enrolled",M7="not enrolled",O7="not enrolled")),ROUND(((E20-(E20*0.01057))/2),0), IF((AND(I7&lt;&gt;"not enrolled",K7="not enrolled",M7="not enrolled",O7="not enrolled")),ROUND(((E20-(E20*0.01057))/1),0), 0))))</f>
        <v>0</v>
      </c>
      <c r="K20" s="5">
        <f>IF((AND(I7&lt;&gt;"not enrolled",K7&lt;&gt;"not enrolled",M7&lt;&gt;"not enrolled",O7&lt;&gt;"not enrolled")),ROUND(((E20-(E20*0.01057))/4),0), IF((AND(I7&lt;&gt;"not enrolled",K7&lt;&gt;"not enrolled",M7&lt;&gt;"not enrolled",O7="not enrolled")),ROUND(((E20-(E20*0.01057))/3),0), IF((AND(I7="not enrolled",K7&lt;&gt;"not enrolled",M7&lt;&gt;"not enrolled",O7&lt;&gt;"not enrolled")),ROUND(((E20-(E20*0.01057))/3),0), IF((AND(I7&lt;&gt;"not enrolled",K7&lt;&gt;"not enrolled",M7="not enrolled",O7="not enrolled")),ROUND(((E20-(E20*0.01057))/2),0), 0))))</f>
        <v>0</v>
      </c>
      <c r="M20" s="5">
        <f>IF((AND(I7&lt;&gt;"not enrolled",K7&lt;&gt;"not enrolled",M7&lt;&gt;"not enrolled",O7&lt;&gt;"not enrolled")),ROUND(((E20-(E20*0.01057))/4),0), IF((AND(I7&lt;&gt;"not enrolled",K7&lt;&gt;"not enrolled",M7&lt;&gt;"not enrolled",O7="not enrolled")),ROUND(((E20-(E20*0.01057))/3),0), IF((AND(I7="not enrolled",K7&lt;&gt;"not enrolled",M7&lt;&gt;"not enrolled",O7&lt;&gt;"not enrolled")),ROUND(((E20-(E20*0.01057))/3),0), IF((AND(I7="not enrolled",K7="not enrolled",M7&lt;&gt;"not enrolled",O7&lt;&gt;"not enrolled")),ROUND(((E20-(E20*0.01057))/2),0), 0))))</f>
        <v>0</v>
      </c>
      <c r="O20" s="5">
        <f>IF((AND(I7&lt;&gt;"not enrolled",K7&lt;&gt;"not enrolled",M7&lt;&gt;"not enrolled",O7&lt;&gt;"not enrolled")),ROUND(((E20-(E20*0.01057))/4),0), IF((AND(I7="not enrolled",K7&lt;&gt;"not enrolled",M7&lt;&gt;"not enrolled",O7&lt;&gt;"not enrolled")),ROUND(((E20-(E20*0.01057))/3),0), IF((AND(I7="not enrolled",K7="not enrolled",M7&lt;&gt;"not enrolled",O7&lt;&gt;"not enrolled")),ROUND(((E20-(E20*0.01057))/2),0),  IF((AND(I7="not enrolled",K7="not enrolled",M7="not enrolled",O7&lt;&gt;"not enrolled")),ROUND(((E20-(E20*0.01057))/1),0), 0))))</f>
        <v>0</v>
      </c>
    </row>
    <row r="21" spans="2:15" ht="21.75" customHeight="1" x14ac:dyDescent="0.25">
      <c r="B21" s="9" t="s">
        <v>59</v>
      </c>
      <c r="C21" s="9"/>
      <c r="D21" s="9"/>
      <c r="E21" s="15"/>
      <c r="F21" s="9"/>
      <c r="G21" s="10">
        <f>SUM(I21,K21,M21,O21)</f>
        <v>0</v>
      </c>
      <c r="H21" s="9"/>
      <c r="I21" s="10">
        <f>IF((AND(I7&lt;&gt;"not enrolled",K7&lt;&gt;"not enrolled",M7&lt;&gt;"not enrolled",O7&lt;&gt;"not enrolled")),ROUND(((E21-(E21*0.04228))/4),0), IF((AND(I7&lt;&gt;"not enrolled",K7&lt;&gt;"not enrolled",M7&lt;&gt;"not enrolled",O7="not enrolled")),ROUND(((E21-(E21*0.04228))/3),0), IF((AND(I7&lt;&gt;"not enrolled",K7&lt;&gt;"not enrolled",M7="not enrolled",O7="not enrolled")),ROUND(((E21-(E21*0.04228))/2),0), IF((AND(I7&lt;&gt;"not enrolled",K7="not enrolled",M7="not enrolled",O7="not enrolled")),ROUND(((E21-(E21*0.04228))/1),0), 0))))</f>
        <v>0</v>
      </c>
      <c r="J21" s="9"/>
      <c r="K21" s="10">
        <f>IF((AND(I7&lt;&gt;"not enrolled",K7&lt;&gt;"not enrolled",M7&lt;&gt;"not enrolled",O7&lt;&gt;"not enrolled")),ROUND(((E21-(E21*0.04228))/4),0), IF((AND(I7&lt;&gt;"not enrolled",K7&lt;&gt;"not enrolled",M7&lt;&gt;"not enrolled",O7="not enrolled")),ROUND(((E21-(E21*0.04228))/3),0), IF((AND(I7="not enrolled",K7&lt;&gt;"not enrolled",M7&lt;&gt;"not enrolled",O7&lt;&gt;"not enrolled")),ROUND(((E21-(E21*0.04228))/3),0), IF((AND(I7&lt;&gt;"not enrolled",K7&lt;&gt;"not enrolled",M7="not enrolled",O7="not enrolled")),ROUND(((E21-(E21*0.04228))/2),0), 0))))</f>
        <v>0</v>
      </c>
      <c r="L21" s="10"/>
      <c r="M21" s="10">
        <f>IF((AND(I7&lt;&gt;"not enrolled",K7&lt;&gt;"not enrolled",M7&lt;&gt;"not enrolled",O7&lt;&gt;"not enrolled")),ROUND(((E21-(E21*0.04228))/4),0), IF((AND(I7&lt;&gt;"not enrolled",K7&lt;&gt;"not enrolled",M7&lt;&gt;"not enrolled",O7="not enrolled")),ROUND(((E21-(E21*0.04228))/3),0), IF((AND(I7="not enrolled",K7&lt;&gt;"not enrolled",M7&lt;&gt;"not enrolled",O7&lt;&gt;"not enrolled")),ROUND(((E21-(E21*0.04228))/3),0), IF((AND(I7="not enrolled",K7="not enrolled",M7&lt;&gt;"not enrolled",O7&lt;&gt;"not enrolled")),ROUND(((E21-(E21*0.04228))/2),0), 0))))</f>
        <v>0</v>
      </c>
      <c r="N21" s="10"/>
      <c r="O21" s="10">
        <f>IF((AND(I7&lt;&gt;"not enrolled",K7&lt;&gt;"not enrolled",M7&lt;&gt;"not enrolled",O7&lt;&gt;"not enrolled")),ROUND(((E21-(E21*0.04228))/4),0), IF((AND(I7="not enrolled",K7&lt;&gt;"not enrolled",M7&lt;&gt;"not enrolled",O7&lt;&gt;"not enrolled")),ROUND(((E21-(E21*0.04228))/3),0), IF((AND(I7="not enrolled",K7="not enrolled",M7&lt;&gt;"not enrolled",O7&lt;&gt;"not enrolled")),ROUND(((E21-(E21*0.04228))/2),0),  IF((AND(I7="not enrolled",K7="not enrolled",M7="not enrolled",O7&lt;&gt;"not enrolled")),ROUND(((E21-(E21*0.04228))/1),0), 0))))</f>
        <v>0</v>
      </c>
    </row>
    <row r="22" spans="2:15" ht="21.75" customHeight="1" x14ac:dyDescent="0.25">
      <c r="B22" t="s">
        <v>6</v>
      </c>
      <c r="G22" s="14"/>
      <c r="I22" s="5">
        <f>IF((AND(I7&lt;&gt;"not enrolled",K7&lt;&gt;"not enrolled",M7&lt;&gt;"not enrolled",O7&lt;&gt;"not enrolled")),(G22/4), IF((AND(I7&lt;&gt;"not enrolled",K7&lt;&gt;"not enrolled",M7&lt;&gt;"not enrolled",O7="not enrolled")),(G22/3), IF((AND(I7&lt;&gt;"not enrolled",K7&lt;&gt;"not enrolled",M7="not enrolled",O7="not enrolled")),(G22/2), IF((AND(I7&lt;&gt;"not enrolled",K7="not enrolled",M7="not enrolled",O7="not enrolled")),(G22/1), 0))))</f>
        <v>0</v>
      </c>
      <c r="K22" s="5">
        <f>IF((AND(I7&lt;&gt;"not enrolled",K7&lt;&gt;"not enrolled",M7&lt;&gt;"not enrolled",O7&lt;&gt;"not enrolled")),(G22/4), IF((AND(I7&lt;&gt;"not enrolled",K7&lt;&gt;"not enrolled",M7&lt;&gt;"not enrolled",O7="not enrolled")),(G22/3), IF((AND(I7="not enrolled",K7&lt;&gt;"not enrolled",M7&lt;&gt;"not enrolled",O7&lt;&gt;"not enrolled")),(G22/3), IF((AND(I7&lt;&gt;"not enrolled",K7&lt;&gt;"not enrolled",M7="not enrolled",O7="not enrolled")),(G22/2), 0))))</f>
        <v>0</v>
      </c>
      <c r="M22" s="5">
        <f>IF((AND(I7&lt;&gt;"not enrolled",K7&lt;&gt;"not enrolled",M7&lt;&gt;"not enrolled",O7&lt;&gt;"not enrolled")),(G22/4), IF((AND(I7&lt;&gt;"not enrolled",K7&lt;&gt;"not enrolled",M7&lt;&gt;"not enrolled",O7="not enrolled")),(G22/3), IF((AND(I7="not enrolled",K7&lt;&gt;"not enrolled",M7&lt;&gt;"not enrolled",O7&lt;&gt;"not enrolled")),(G22/3), IF((AND(I7="not enrolled",K7="not enrolled",M7&lt;&gt;"not enrolled",O7&lt;&gt;"not enrolled")),(G22/2), 0))))</f>
        <v>0</v>
      </c>
      <c r="O22" s="5">
        <f>IF((AND(I7&lt;&gt;"not enrolled",K7&lt;&gt;"not enrolled",M7&lt;&gt;"not enrolled",O7&lt;&gt;"not enrolled")),(G22/4), IF((AND(I7="not enrolled",K7&lt;&gt;"not enrolled",M7&lt;&gt;"not enrolled",O7&lt;&gt;"not enrolled")),(G22/3), IF((AND(I7="not enrolled",K7="not enrolled",M7&lt;&gt;"not enrolled",O7&lt;&gt;"not enrolled")),(G22/2),  IF((AND(I7="not enrolled",K7="not enrolled",M7="not enrolled",O7&lt;&gt;"not enrolled")),(G22), 0))))</f>
        <v>0</v>
      </c>
    </row>
    <row r="23" spans="2:15" ht="21.75" customHeight="1" x14ac:dyDescent="0.25">
      <c r="B23" s="98" t="s">
        <v>13</v>
      </c>
      <c r="C23" s="98"/>
      <c r="D23" s="98"/>
      <c r="E23" s="98"/>
      <c r="F23" s="98"/>
      <c r="G23" s="23">
        <f>I23+K23+M23+O23</f>
        <v>0</v>
      </c>
      <c r="H23" s="22"/>
      <c r="I23" s="16"/>
      <c r="J23" s="22"/>
      <c r="K23" s="16"/>
      <c r="L23" s="36"/>
      <c r="M23" s="16"/>
      <c r="N23" s="36"/>
      <c r="O23" s="16"/>
    </row>
    <row r="24" spans="2:15" ht="21.75" customHeight="1" x14ac:dyDescent="0.25">
      <c r="C24" s="7" t="s">
        <v>7</v>
      </c>
      <c r="G24" s="5">
        <f>SUM(G18:G23)</f>
        <v>0</v>
      </c>
      <c r="I24" s="5">
        <f>SUM(I18:I23)</f>
        <v>0</v>
      </c>
      <c r="K24" s="5">
        <f>SUM(K18:K23)</f>
        <v>0</v>
      </c>
      <c r="M24" s="5">
        <f>SUM(M18:M23)</f>
        <v>0</v>
      </c>
      <c r="O24" s="5">
        <f>SUM(O18:O23)</f>
        <v>0</v>
      </c>
    </row>
    <row r="25" spans="2:15" ht="15.75" thickBot="1" x14ac:dyDescent="0.3"/>
    <row r="26" spans="2:15" ht="21.75" customHeight="1" thickTop="1" thickBot="1" x14ac:dyDescent="0.35">
      <c r="B26" s="12" t="s">
        <v>9</v>
      </c>
      <c r="C26" s="11"/>
      <c r="D26" s="11"/>
      <c r="E26" s="11"/>
      <c r="F26" s="11"/>
      <c r="G26" s="20">
        <f>G15-G24</f>
        <v>0</v>
      </c>
      <c r="H26" s="21"/>
      <c r="I26" s="20">
        <f>I15-I24</f>
        <v>0</v>
      </c>
      <c r="J26" s="21"/>
      <c r="K26" s="20">
        <f>K15-K24</f>
        <v>0</v>
      </c>
      <c r="L26" s="20"/>
      <c r="M26" s="20">
        <f>M15-M24</f>
        <v>0</v>
      </c>
      <c r="N26" s="20"/>
      <c r="O26" s="20">
        <f>O15-O24</f>
        <v>0</v>
      </c>
    </row>
    <row r="27" spans="2:15" ht="15.75" thickTop="1" x14ac:dyDescent="0.25"/>
    <row r="28" spans="2:15" x14ac:dyDescent="0.25">
      <c r="B28" s="7" t="s">
        <v>10</v>
      </c>
    </row>
    <row r="29" spans="2:15" ht="21" customHeight="1" x14ac:dyDescent="0.25">
      <c r="B29" s="99" t="s">
        <v>61</v>
      </c>
      <c r="C29" s="94"/>
      <c r="D29" s="94"/>
      <c r="E29" s="94"/>
      <c r="F29" s="94"/>
      <c r="G29" s="94"/>
      <c r="H29" s="94"/>
      <c r="I29" s="94"/>
      <c r="J29" s="94"/>
      <c r="K29" s="94"/>
      <c r="L29" s="94"/>
      <c r="M29" s="94"/>
      <c r="N29" s="94"/>
      <c r="O29" s="94"/>
    </row>
    <row r="30" spans="2:15" ht="21.75" customHeight="1" x14ac:dyDescent="0.25">
      <c r="B30" s="100" t="s">
        <v>46</v>
      </c>
      <c r="C30" s="100"/>
      <c r="D30" s="100"/>
      <c r="E30" s="100"/>
      <c r="F30" s="100"/>
      <c r="G30" s="100"/>
      <c r="H30" s="100"/>
      <c r="I30" s="100"/>
      <c r="J30" s="100"/>
      <c r="K30" s="100"/>
      <c r="L30" s="100"/>
      <c r="M30" s="100"/>
      <c r="N30" s="100"/>
      <c r="O30" s="100"/>
    </row>
    <row r="31" spans="2:15" ht="21.75" customHeight="1" x14ac:dyDescent="0.25">
      <c r="B31" s="26" t="s">
        <v>60</v>
      </c>
      <c r="C31" s="26"/>
      <c r="D31" s="26"/>
      <c r="E31" s="26"/>
      <c r="F31" s="26"/>
      <c r="G31" s="26"/>
      <c r="H31" s="26"/>
      <c r="I31" s="26"/>
      <c r="J31" s="26"/>
      <c r="K31" s="26"/>
      <c r="L31" s="26"/>
      <c r="M31" s="26"/>
      <c r="N31" s="26"/>
      <c r="O31" s="26"/>
    </row>
    <row r="32" spans="2:15" ht="32.25" customHeight="1" x14ac:dyDescent="0.25">
      <c r="B32" s="94" t="s">
        <v>62</v>
      </c>
      <c r="C32" s="94"/>
      <c r="D32" s="94"/>
      <c r="E32" s="94"/>
      <c r="F32" s="94"/>
      <c r="G32" s="94"/>
      <c r="H32" s="94"/>
      <c r="I32" s="94"/>
      <c r="J32" s="94"/>
      <c r="K32" s="94"/>
      <c r="L32" s="94"/>
      <c r="M32" s="94"/>
      <c r="N32" s="94"/>
      <c r="O32" s="94"/>
    </row>
    <row r="33" spans="2:15" ht="64.5" customHeight="1" x14ac:dyDescent="0.25">
      <c r="B33" s="94" t="s">
        <v>63</v>
      </c>
      <c r="C33" s="94"/>
      <c r="D33" s="94"/>
      <c r="E33" s="94"/>
      <c r="F33" s="94"/>
      <c r="G33" s="94"/>
      <c r="H33" s="94"/>
      <c r="I33" s="94"/>
      <c r="J33" s="94"/>
      <c r="K33" s="94"/>
      <c r="L33" s="94"/>
      <c r="M33" s="94"/>
      <c r="N33" s="94"/>
      <c r="O33" s="94"/>
    </row>
    <row r="34" spans="2:15" ht="21.75" customHeight="1" x14ac:dyDescent="0.25"/>
    <row r="36" spans="2:15" x14ac:dyDescent="0.25">
      <c r="B36" s="95" t="s">
        <v>11</v>
      </c>
      <c r="C36" s="95"/>
      <c r="D36" s="95"/>
      <c r="E36" s="95"/>
      <c r="F36" s="95"/>
      <c r="G36" s="95"/>
      <c r="H36" s="95"/>
      <c r="I36" s="95"/>
      <c r="J36" s="95"/>
      <c r="K36" s="95"/>
      <c r="L36" s="95"/>
      <c r="M36" s="95"/>
      <c r="N36" s="95"/>
      <c r="O36" s="95"/>
    </row>
  </sheetData>
  <sheetProtection algorithmName="SHA-512" hashValue="TTEn5RdWqs21miRETH/HQX4RpqVRLeUbVdX7X9mM555jW9RtJxCntGpMFDTN5k9lOxYPJQRPAOES6fE5anDMPw==" saltValue="quR5i1pbXcF8W7Wbc3hAsg==" spinCount="100000" sheet="1" selectLockedCells="1"/>
  <mergeCells count="9">
    <mergeCell ref="B33:O33"/>
    <mergeCell ref="B36:O36"/>
    <mergeCell ref="G2:O2"/>
    <mergeCell ref="C11:D11"/>
    <mergeCell ref="B23:F23"/>
    <mergeCell ref="B29:O29"/>
    <mergeCell ref="B30:O30"/>
    <mergeCell ref="B4:O4"/>
    <mergeCell ref="B32:O32"/>
  </mergeCells>
  <hyperlinks>
    <hyperlink ref="B13" r:id="rId1" display="Will you enroll in DU's Health Insurance Plan?" xr:uid="{C9AF95C0-B725-4E0F-AED0-EE00233A9268}"/>
    <hyperlink ref="B14" r:id="rId2" display="Will you use DU's Health &amp; Counseling Services? " xr:uid="{25BCBC13-D08E-43B3-B445-0D134391804B}"/>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Data!$A$2:$A$7</xm:f>
          </x14:formula1>
          <xm:sqref>O7 I7 K7 M7</xm:sqref>
        </x14:dataValidation>
        <x14:dataValidation type="list" allowBlank="1" showInputMessage="1" showErrorMessage="1" xr:uid="{BCF2F856-DCB6-4E92-8BB4-C618BF0D5D28}">
          <x14:formula1>
            <xm:f>Data!$B$10:$B$11</xm:f>
          </x14:formula1>
          <xm:sqref>E13:E14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C6900-2C95-474D-B09B-1DE40CC76D81}">
  <dimension ref="A2:O35"/>
  <sheetViews>
    <sheetView showGridLines="0" showRowColHeaders="0" workbookViewId="0">
      <selection activeCell="E4" sqref="E4:F4"/>
    </sheetView>
  </sheetViews>
  <sheetFormatPr defaultColWidth="8.85546875" defaultRowHeight="15" x14ac:dyDescent="0.25"/>
  <cols>
    <col min="1" max="1" width="4.140625" style="37" customWidth="1"/>
    <col min="2" max="3" width="8.85546875" style="37"/>
    <col min="4" max="4" width="26.140625" style="37" customWidth="1"/>
    <col min="5" max="5" width="13.85546875" style="37" customWidth="1"/>
    <col min="6" max="6" width="4.28515625" style="37" customWidth="1"/>
    <col min="7" max="7" width="15" style="38" customWidth="1"/>
    <col min="8" max="8" width="2.85546875" style="37" customWidth="1"/>
    <col min="9" max="9" width="15" style="38" customWidth="1"/>
    <col min="10" max="10" width="2.85546875" style="37" customWidth="1"/>
    <col min="11" max="11" width="15" style="38" customWidth="1"/>
    <col min="12" max="12" width="2.85546875" style="38" customWidth="1"/>
    <col min="13" max="13" width="15" style="38" customWidth="1"/>
    <col min="14" max="14" width="2.85546875" style="38" customWidth="1"/>
    <col min="15" max="15" width="15" style="38" customWidth="1"/>
    <col min="16" max="16384" width="8.85546875" style="37"/>
  </cols>
  <sheetData>
    <row r="2" spans="2:15" ht="44.25" customHeight="1" x14ac:dyDescent="0.35">
      <c r="G2" s="90" t="s">
        <v>36</v>
      </c>
      <c r="H2" s="90"/>
      <c r="I2" s="90"/>
      <c r="J2" s="90"/>
      <c r="K2" s="90"/>
      <c r="L2" s="90"/>
      <c r="M2" s="90"/>
      <c r="N2" s="90"/>
      <c r="O2" s="90"/>
    </row>
    <row r="3" spans="2:15" ht="21" x14ac:dyDescent="0.25">
      <c r="B3" s="39"/>
      <c r="C3" s="39"/>
      <c r="D3" s="39"/>
      <c r="E3" s="39"/>
      <c r="F3" s="39"/>
      <c r="G3" s="40"/>
      <c r="H3" s="41"/>
      <c r="I3" s="41"/>
      <c r="J3" s="41"/>
      <c r="K3" s="41"/>
      <c r="L3" s="41"/>
      <c r="M3" s="41"/>
      <c r="N3" s="41"/>
      <c r="O3" s="41"/>
    </row>
    <row r="4" spans="2:15" ht="21" x14ac:dyDescent="0.3">
      <c r="B4" s="85" t="s">
        <v>34</v>
      </c>
      <c r="E4" s="110" t="s">
        <v>50</v>
      </c>
      <c r="F4" s="111"/>
      <c r="G4" s="82"/>
      <c r="H4" s="83"/>
      <c r="I4" s="83"/>
      <c r="J4" s="83"/>
      <c r="K4" s="83"/>
      <c r="L4" s="83"/>
      <c r="M4" s="83"/>
      <c r="N4" s="83"/>
      <c r="O4" s="83"/>
    </row>
    <row r="6" spans="2:15" ht="15" customHeight="1" x14ac:dyDescent="0.25">
      <c r="I6" s="44" t="s">
        <v>37</v>
      </c>
      <c r="K6" s="44" t="s">
        <v>38</v>
      </c>
      <c r="M6" s="44" t="s">
        <v>39</v>
      </c>
      <c r="O6" s="44" t="s">
        <v>40</v>
      </c>
    </row>
    <row r="7" spans="2:15" ht="18.75" x14ac:dyDescent="0.3">
      <c r="C7" s="42" t="s">
        <v>27</v>
      </c>
      <c r="E7" s="43"/>
      <c r="F7" s="43"/>
      <c r="G7" s="43"/>
      <c r="H7" s="43"/>
      <c r="I7" s="45" t="s">
        <v>25</v>
      </c>
      <c r="K7" s="46" t="s">
        <v>25</v>
      </c>
      <c r="L7" s="37"/>
      <c r="M7" s="47" t="s">
        <v>25</v>
      </c>
      <c r="N7" s="37"/>
      <c r="O7" s="47" t="s">
        <v>25</v>
      </c>
    </row>
    <row r="9" spans="2:15" ht="15.75" thickBot="1" x14ac:dyDescent="0.3">
      <c r="B9" s="48" t="s">
        <v>4</v>
      </c>
      <c r="C9" s="49"/>
      <c r="D9" s="49"/>
      <c r="E9" s="49"/>
      <c r="F9" s="49"/>
      <c r="G9" s="50" t="s">
        <v>2</v>
      </c>
      <c r="H9" s="51"/>
      <c r="I9" s="50" t="s">
        <v>41</v>
      </c>
      <c r="J9" s="51"/>
      <c r="K9" s="50" t="s">
        <v>42</v>
      </c>
      <c r="L9" s="50"/>
      <c r="M9" s="50" t="s">
        <v>43</v>
      </c>
      <c r="N9" s="50"/>
      <c r="O9" s="50" t="s">
        <v>44</v>
      </c>
    </row>
    <row r="10" spans="2:15" ht="15.75" customHeight="1" x14ac:dyDescent="0.25"/>
    <row r="11" spans="2:15" ht="21" customHeight="1" x14ac:dyDescent="0.25">
      <c r="B11" s="52" t="s">
        <v>23</v>
      </c>
      <c r="C11" s="103"/>
      <c r="D11" s="103"/>
      <c r="E11" s="53"/>
      <c r="F11" s="53"/>
      <c r="G11" s="54">
        <f>I11+K11+M11+O11</f>
        <v>59836</v>
      </c>
      <c r="H11" s="53"/>
      <c r="I11" s="54">
        <f>IF(I7="No",0,VLOOKUP($E$4,Data!$F$9:$G$11,2,FALSE))</f>
        <v>14959</v>
      </c>
      <c r="J11" s="53"/>
      <c r="K11" s="54">
        <f>IF(K7="No",0,VLOOKUP($E$4,Data!$F$9:$G$11,2,FALSE))</f>
        <v>14959</v>
      </c>
      <c r="L11" s="54"/>
      <c r="M11" s="54">
        <f>IF(M7="No",0,VLOOKUP($E$4,Data!$F$9:$G$11,2,FALSE))</f>
        <v>14959</v>
      </c>
      <c r="N11" s="54"/>
      <c r="O11" s="54">
        <f>IF(O7="No",0,VLOOKUP($E$4,Data!$F$9:$G$11,2,FALSE))</f>
        <v>14959</v>
      </c>
    </row>
    <row r="12" spans="2:15" ht="21" customHeight="1" x14ac:dyDescent="0.25">
      <c r="B12" s="55" t="s">
        <v>32</v>
      </c>
      <c r="G12" s="38">
        <f>I12+K12+M12+O12</f>
        <v>1440</v>
      </c>
      <c r="I12" s="38">
        <f>IF(I7="Yes",360, 0)</f>
        <v>360</v>
      </c>
      <c r="K12" s="38">
        <f>IF(K7="Yes",360, 0)</f>
        <v>360</v>
      </c>
      <c r="M12" s="38">
        <f>IF(M7="Yes", 360, 0)</f>
        <v>360</v>
      </c>
      <c r="O12" s="38">
        <f>IF(O7="Yes", 360, 0)</f>
        <v>360</v>
      </c>
    </row>
    <row r="13" spans="2:15" ht="21" customHeight="1" x14ac:dyDescent="0.25">
      <c r="B13" s="104" t="s">
        <v>21</v>
      </c>
      <c r="C13" s="104"/>
      <c r="D13" s="105"/>
      <c r="E13" s="56" t="s">
        <v>26</v>
      </c>
      <c r="F13" s="53"/>
      <c r="G13" s="54">
        <f>I13+K13+M13+O13</f>
        <v>0</v>
      </c>
      <c r="H13" s="53"/>
      <c r="I13" s="75">
        <f>IF(AND(E13="Yes", I7="Yes"), (VLOOKUP(E13, Data!A24:C25, 2, FALSE)), 0)</f>
        <v>0</v>
      </c>
      <c r="J13" s="76"/>
      <c r="K13" s="75">
        <v>0</v>
      </c>
      <c r="L13" s="77"/>
      <c r="M13" s="75">
        <f>IF(AND(E13="Yes", M7="Yes"), (VLOOKUP(E13, Data!A24:C25, 2, FALSE)), 0)</f>
        <v>0</v>
      </c>
      <c r="N13" s="76"/>
      <c r="O13" s="75">
        <v>0</v>
      </c>
    </row>
    <row r="14" spans="2:15" ht="21" customHeight="1" x14ac:dyDescent="0.25">
      <c r="B14" s="106" t="s">
        <v>22</v>
      </c>
      <c r="C14" s="106"/>
      <c r="D14" s="107"/>
      <c r="E14" s="57" t="s">
        <v>26</v>
      </c>
      <c r="F14" s="58"/>
      <c r="G14" s="59">
        <f>I14+K14+M14+O14</f>
        <v>0</v>
      </c>
      <c r="H14" s="58"/>
      <c r="I14" s="59">
        <f>IF(AND(E14="Yes", I7="Yes"),258, 0)</f>
        <v>0</v>
      </c>
      <c r="J14" s="58"/>
      <c r="K14" s="59">
        <f>IF(AND(E14="Yes", K7="Yes"),258, 0)</f>
        <v>0</v>
      </c>
      <c r="L14" s="59"/>
      <c r="M14" s="59">
        <f>IF(AND(E14="Yes", M7="Yes"),258, 0)</f>
        <v>0</v>
      </c>
      <c r="N14" s="58"/>
      <c r="O14" s="59">
        <f>IF(AND(E14="Yes", O7="Yes"),258, 0)</f>
        <v>0</v>
      </c>
    </row>
    <row r="15" spans="2:15" x14ac:dyDescent="0.25">
      <c r="C15" s="60" t="s">
        <v>3</v>
      </c>
      <c r="G15" s="61">
        <f>SUM(G11:G14)</f>
        <v>61276</v>
      </c>
      <c r="I15" s="61">
        <f>SUM(I11:I14)</f>
        <v>15319</v>
      </c>
      <c r="K15" s="61">
        <f>SUM(K11:K14)</f>
        <v>15319</v>
      </c>
      <c r="L15" s="61"/>
      <c r="M15" s="61">
        <f>SUM(M11:M14)</f>
        <v>15319</v>
      </c>
      <c r="N15" s="61"/>
      <c r="O15" s="61">
        <f>SUM(O11:O14)</f>
        <v>15319</v>
      </c>
    </row>
    <row r="17" spans="1:15" ht="15.75" thickBot="1" x14ac:dyDescent="0.3">
      <c r="B17" s="48" t="s">
        <v>8</v>
      </c>
      <c r="C17" s="49"/>
      <c r="D17" s="49"/>
      <c r="E17" s="49"/>
      <c r="F17" s="49"/>
      <c r="G17" s="50" t="s">
        <v>2</v>
      </c>
      <c r="H17" s="51"/>
      <c r="I17" s="50" t="s">
        <v>41</v>
      </c>
      <c r="J17" s="51"/>
      <c r="K17" s="50" t="s">
        <v>42</v>
      </c>
      <c r="L17" s="50"/>
      <c r="M17" s="50" t="s">
        <v>43</v>
      </c>
      <c r="N17" s="50"/>
      <c r="O17" s="50" t="s">
        <v>44</v>
      </c>
    </row>
    <row r="18" spans="1:15" ht="21" customHeight="1" x14ac:dyDescent="0.25">
      <c r="B18" s="37" t="s">
        <v>12</v>
      </c>
      <c r="G18" s="62"/>
      <c r="I18" s="38">
        <f>IF((AND(I7="Yes",K7="Yes",M7="Yes",O7="Yes")),(G18/4), IF((AND(I7="Yes",K7="Yes",M7="Yes",O7="No")),(G18/3), IF((AND(I7="Yes",K7="Yes",M7="No",O7="No")),(G18/2), IF((AND(I7="Yes",K7="No",M7="No",O7="No")),(G18/1), 0))))</f>
        <v>0</v>
      </c>
      <c r="K18" s="38">
        <f>IF((AND(I7="Yes",K7="Yes",M7="Yes",O7="Yes")),(G18/4), IF((AND(I7="Yes",K7="Yes",M7="Yes",O7="No")),(G18/3), IF((AND(I7="No",K7="Yes",M7="Yes",O7="Yes")),(G18/3), IF((AND(I7="Yes",K7="Yes",M7="No",O7="No")),(G18/2), 0))))</f>
        <v>0</v>
      </c>
      <c r="M18" s="38">
        <f>IF((AND(I7="Yes",K7="Yes",M7="Yes",O7="Yes")),(G18/4), IF((AND(I7="Yes",K7="Yes",M7="Yes",O7="No")),(G18/3), IF((AND(I7="No",K7="Yes",M7="Yes",O7="Yes")),(G18/3), IF((AND(I7="No",K7="No",M7="Yes",O7="Yes")),(G18/2), 0))))</f>
        <v>0</v>
      </c>
      <c r="O18" s="38">
        <f>IF((AND(I7="Yes",K7="Yes",M7="Yes",O7="Yes")),(G18/4), IF((AND(I7="No",K7="Yes",M7="Yes",O7="Yes")),(G18/3), IF((AND(I7="No",K7="No",M7="Yes",O7="Yes")),(G18/2),  IF((AND(I7="No",K7="No",M7="No",O7="Yes")),(G18), 0))))</f>
        <v>0</v>
      </c>
    </row>
    <row r="19" spans="1:15" ht="21" customHeight="1" x14ac:dyDescent="0.25">
      <c r="B19" s="53" t="s">
        <v>5</v>
      </c>
      <c r="C19" s="53"/>
      <c r="D19" s="53"/>
      <c r="E19" s="53"/>
      <c r="F19" s="53"/>
      <c r="G19" s="63"/>
      <c r="H19" s="53"/>
      <c r="I19" s="54">
        <f>IF((AND(I7="Yes",K7="Yes",M7="Yes",O7="Yes")),(G19/4), IF((AND(I7="Yes",K7="Yes",M7="Yes",O7="No")),(G19/3), IF((AND(I7="Yes",K7="Yes",M7="No",O7="No")),(G19/2), IF((AND(I7="Yes",K7="No",M7="No",O7="No")),(G19/1), 0))))</f>
        <v>0</v>
      </c>
      <c r="J19" s="53"/>
      <c r="K19" s="54">
        <f>IF((AND(I7="Yes",K7="Yes",M7="Yes",O7="Yes")),(G19/4), IF((AND(I7="Yes",K7="Yes",M7="Yes",O7="No")),(G19/3), IF((AND(I7="No",K7="Yes",M7="Yes",O7="Yes")),(G19/3), IF((AND(I7="Yes",K7="Yes",M7="No",O7="No")),(G19/2), 0))))</f>
        <v>0</v>
      </c>
      <c r="L19" s="54"/>
      <c r="M19" s="54">
        <f>IF((AND(I7="Yes",K7="Yes",M7="Yes",O7="Yes")),(G19/4), IF((AND(I7="Yes",K7="Yes",M7="Yes",O7="No")),(G19/3), IF((AND(I7="No",K7="Yes",M7="Yes",O7="Yes")),(G19/3), IF((AND(I7="No",K7="No",M7="Yes",O7="Yes")),(G19/2), 0))))</f>
        <v>0</v>
      </c>
      <c r="N19" s="54"/>
      <c r="O19" s="54">
        <f>IF((AND(I7="Yes",K7="Yes",M7="Yes",O7="Yes")),(G19/4), IF((AND(I7="No",K7="Yes",M7="Yes",O7="Yes")),(G19/3), IF((AND(I7="No",K7="No",M7="Yes",O7="Yes")),(G19/2),  IF((AND(I7="No",K7="No",M7="No",O7="Yes")),(G19), 0))))</f>
        <v>0</v>
      </c>
    </row>
    <row r="20" spans="1:15" ht="21" customHeight="1" x14ac:dyDescent="0.25">
      <c r="B20" s="37" t="s">
        <v>51</v>
      </c>
      <c r="E20" s="64"/>
      <c r="G20" s="38">
        <f>SUM(I20,K20,M20,O20)</f>
        <v>0</v>
      </c>
      <c r="I20" s="38">
        <f>IF((AND(I7&lt;&gt;"No",K7&lt;&gt;"No",M7&lt;&gt;"No",O7&lt;&gt;"No")), ROUND(((E20-(E20*0.01057))/4),0), IF((AND(I7&lt;&gt;"No",K7&lt;&gt;"No",M7&lt;&gt;"No",O7="No")),ROUND(((E20-(E20*0.01057))/3),0), IF((AND(I7&lt;&gt;"No",K7&lt;&gt;"No",M7="No",O7="No")),ROUND(((E20-(E20*0.01057))/2),0), IF((AND(I7&lt;&gt;"No",K7="No",M7="No",O7="No")),ROUND(((E20-(E20*0.01057))/1),0), 0))))</f>
        <v>0</v>
      </c>
      <c r="K20" s="38">
        <f>IF((AND(I7&lt;&gt;"No",K7&lt;&gt;"No",M7&lt;&gt;"No",O7&lt;&gt;"No")),ROUND(((E20-(E20*0.01057))/4),0), IF((AND(I7&lt;&gt;"No",K7&lt;&gt;"No",M7&lt;&gt;"No",O7="No")),ROUND(((E20-(E20*0.01057))/3),0), IF((AND(I7="No",K7&lt;&gt;"No",M7&lt;&gt;"No",O7&lt;&gt;"No")),ROUND(((E20-(E20*0.01057))/3),0), IF((AND(I7&lt;&gt;"No",K7&lt;&gt;"No",M7="No",O7="No")),ROUND(((E20-(E20*0.01057))/2),0), 0))))</f>
        <v>0</v>
      </c>
      <c r="M20" s="38">
        <f>IF((AND(I7&lt;&gt;"No",K7&lt;&gt;"No",M7&lt;&gt;"No",O7&lt;&gt;"No")),ROUND(((E20-(E20*0.01057))/4),0), IF((AND(I7&lt;&gt;"No",K7&lt;&gt;"No",M7&lt;&gt;"No",O7="No")),ROUND(((E20-(E20*0.01057))/3),0), IF((AND(I7="No",K7&lt;&gt;"No",M7&lt;&gt;"No",O7&lt;&gt;"No")),ROUND(((E20-(E20*0.01057))/3),0), IF((AND(I7="No",K7="No",M7&lt;&gt;"No",O7&lt;&gt;"No")),ROUND(((E20-(E20*0.01057))/2),0), 0))))</f>
        <v>0</v>
      </c>
      <c r="O20" s="38">
        <f>IF((AND(I7&lt;&gt;"No",K7&lt;&gt;"No",M7&lt;&gt;"No",O7&lt;&gt;"No")),ROUND(((E20-(E20*0.01057))/4),0), IF((AND(I7="No",K7&lt;&gt;"No",M7&lt;&gt;"No",O7&lt;&gt;"No")),ROUND(((E20-(E20*0.01057))/3),0), IF((AND(I7="No",K7="No",M7&lt;&gt;"No",O7&lt;&gt;"No")),ROUND(((E20-(E20*0.01057))/2),0),  IF((AND(I7="No",K7="No",M7="No",O7&lt;&gt;"No")),ROUND(((E20-(E20*0.01057))/1),0), 0))))</f>
        <v>0</v>
      </c>
    </row>
    <row r="21" spans="1:15" ht="21" customHeight="1" x14ac:dyDescent="0.25">
      <c r="B21" s="53" t="s">
        <v>52</v>
      </c>
      <c r="C21" s="53"/>
      <c r="D21" s="53"/>
      <c r="E21" s="64"/>
      <c r="F21" s="53"/>
      <c r="G21" s="54">
        <f>SUM(I21,K21,M21,O21)</f>
        <v>0</v>
      </c>
      <c r="H21" s="53"/>
      <c r="I21" s="54">
        <f>IF((AND(I7&lt;&gt;"No",K7&lt;&gt;"No",M7&lt;&gt;"No",O7&lt;&gt;"No")), ROUND(((E21-(E21*0.04228))/4),0), IF((AND(I7&lt;&gt;"No",K7&lt;&gt;"No",M7&lt;&gt;"No",O7="No")),ROUND(((E21-(E21*0.04228))/3),0), IF((AND(I7&lt;&gt;"No",K7&lt;&gt;"No",M7="No",O7="No")),ROUND(((E21-(E21*0.04228))/2),0), IF((AND(I7&lt;&gt;"No",K7="No",M7="No",O7="No")),ROUND(((E21-(E21*0.04228))/1),0), 0))))</f>
        <v>0</v>
      </c>
      <c r="J21" s="53"/>
      <c r="K21" s="54">
        <f>IF((AND(I7&lt;&gt;"No",K7&lt;&gt;"No",M7&lt;&gt;"No",O7&lt;&gt;"No")),ROUND(((E21-(E21*0.04228))/4),0), IF((AND(I7&lt;&gt;"No",K7&lt;&gt;"No",M7&lt;&gt;"No",O7="No")),ROUND(((E21-(E21*0.04228))/3),0), IF((AND(I7="No",K7&lt;&gt;"No",M7&lt;&gt;"No",O7&lt;&gt;"No")),ROUND(((E21-(E21*0.04228))/3),0), IF((AND(I7&lt;&gt;"No",K7&lt;&gt;"No",M7="No",O7="No")),ROUND(((E21-(E21*0.04228))/2),0), 0))))</f>
        <v>0</v>
      </c>
      <c r="L21" s="54"/>
      <c r="M21" s="54">
        <f>IF((AND(I7&lt;&gt;"No",K7&lt;&gt;"No",M7&lt;&gt;"No",O7&lt;&gt;"No")),ROUND(((E21-(E21*0.04228))/4),0), IF((AND(I7&lt;&gt;"No",K7&lt;&gt;"No",M7&lt;&gt;"No",O7="No")),ROUND(((E21-(E21*0.04228))/3),0), IF((AND(I7="No",K7&lt;&gt;"No",M7&lt;&gt;"No",O7&lt;&gt;"No")),ROUND(((E21-(E21*0.04228))/3),0), IF((AND(I7="No",K7="No",M7&lt;&gt;"No",O7&lt;&gt;"No")),ROUND(((E21-(E21*0.04228))/2),0), 0))))</f>
        <v>0</v>
      </c>
      <c r="N21" s="54"/>
      <c r="O21" s="54">
        <f>IF((AND(I7&lt;&gt;"No",K7&lt;&gt;"No",M7&lt;&gt;"No",O7&lt;&gt;"No")),ROUND(((E21-(E21*0.04228))/4),0), IF((AND(I7="No",K7&lt;&gt;"No",M7&lt;&gt;"No",O7&lt;&gt;"No")),ROUND(((E21-(E21*0.04228))/3),0), IF((AND(I7="No",K7="No",M7&lt;&gt;"No",O7&lt;&gt;"No")),ROUND(((E21-(E21*0.04228))/2),0),  IF((AND(I7="No",K7="No",M7="No",O7&lt;&gt;"No")),ROUND(((E21-(E21*0.04228))/1),0), 0))))</f>
        <v>0</v>
      </c>
    </row>
    <row r="22" spans="1:15" ht="21" customHeight="1" x14ac:dyDescent="0.25">
      <c r="B22" s="37" t="s">
        <v>6</v>
      </c>
      <c r="G22" s="63"/>
      <c r="I22" s="38">
        <f>IF((AND(I7="Yes",K7="Yes",M7="Yes",O7="Yes")),(G22/4), IF((AND(I7="Yes",K7="Yes",M7="Yes",O7="No")),(G22/3), IF((AND(I7="Yes",K7="Yes",M7="No",O7="No")),(G22/2), IF((AND(I7="Yes",K7="No",M7="No",O7="No")),(G22/1), 0))))</f>
        <v>0</v>
      </c>
      <c r="K22" s="38">
        <f>IF((AND(I7="Yes",K7="Yes",M7="Yes",O7="Yes")),(G22/4), IF((AND(I7="Yes",K7="Yes",M7="Yes",O7="No")),(G22/3), IF((AND(I7="No",K7="Yes",M7="Yes",O7="Yes")),(G22/3), IF((AND(I7="Yes",K7="Yes",M7="No",O7="No")),(G22/2), 0))))</f>
        <v>0</v>
      </c>
      <c r="M22" s="38">
        <f>IF((AND(I7="Yes",K7="Yes",M7="Yes",O7="Yes")),(G22/4), IF((AND(I7="Yes",K7="Yes",M7="Yes",O7="No")),(G22/3), IF((AND(I7="No",K7="Yes",M7="Yes",O7="Yes")),(G22/3), IF((AND(I7="No",K7="No",M7="Yes",O7="Yes")),(G22/2), 0))))</f>
        <v>0</v>
      </c>
      <c r="O22" s="38">
        <f>IF((AND(I7="Yes",K7="Yes",M7="Yes",O7="Yes")),(G22/4), IF((AND(I7="No",K7="Yes",M7="Yes",O7="Yes")),(G22/3), IF((AND(I7="No",K7="No",M7="Yes",O7="Yes")),(G22/2),  IF((AND(I7="No",K7="No",M7="No",O7="Yes")),(G22), 0))))</f>
        <v>0</v>
      </c>
    </row>
    <row r="23" spans="1:15" ht="21" customHeight="1" x14ac:dyDescent="0.25">
      <c r="B23" s="108" t="s">
        <v>13</v>
      </c>
      <c r="C23" s="108"/>
      <c r="D23" s="108"/>
      <c r="E23" s="108"/>
      <c r="F23" s="108"/>
      <c r="G23" s="65">
        <f>I23+K23+M23+O23</f>
        <v>0</v>
      </c>
      <c r="H23" s="66"/>
      <c r="I23" s="67"/>
      <c r="J23" s="66"/>
      <c r="K23" s="67"/>
      <c r="L23" s="68"/>
      <c r="M23" s="67"/>
      <c r="N23" s="68"/>
      <c r="O23" s="67"/>
    </row>
    <row r="24" spans="1:15" x14ac:dyDescent="0.25">
      <c r="C24" s="60" t="s">
        <v>7</v>
      </c>
      <c r="G24" s="38">
        <f>SUM(G18:G23)</f>
        <v>0</v>
      </c>
      <c r="I24" s="38">
        <f>SUM(I18:I23)</f>
        <v>0</v>
      </c>
      <c r="K24" s="38">
        <f>SUM(K18:K23)</f>
        <v>0</v>
      </c>
      <c r="M24" s="38">
        <f>SUM(M18:M23)</f>
        <v>0</v>
      </c>
      <c r="O24" s="38">
        <f>SUM(O18:O23)</f>
        <v>0</v>
      </c>
    </row>
    <row r="25" spans="1:15" ht="15.75" thickBot="1" x14ac:dyDescent="0.3"/>
    <row r="26" spans="1:15" ht="20.25" thickTop="1" thickBot="1" x14ac:dyDescent="0.35">
      <c r="B26" s="69" t="s">
        <v>9</v>
      </c>
      <c r="C26" s="70"/>
      <c r="D26" s="70"/>
      <c r="E26" s="70"/>
      <c r="F26" s="70"/>
      <c r="G26" s="71">
        <f>G15-G24</f>
        <v>61276</v>
      </c>
      <c r="H26" s="72"/>
      <c r="I26" s="71">
        <f>I15-I24</f>
        <v>15319</v>
      </c>
      <c r="J26" s="72"/>
      <c r="K26" s="71">
        <f>K15-K24</f>
        <v>15319</v>
      </c>
      <c r="L26" s="71"/>
      <c r="M26" s="71">
        <f>M15-M24</f>
        <v>15319</v>
      </c>
      <c r="N26" s="71"/>
      <c r="O26" s="71">
        <f>O15-O24</f>
        <v>15319</v>
      </c>
    </row>
    <row r="27" spans="1:15" ht="15.75" thickTop="1" x14ac:dyDescent="0.25"/>
    <row r="28" spans="1:15" x14ac:dyDescent="0.25">
      <c r="B28" s="60" t="s">
        <v>10</v>
      </c>
    </row>
    <row r="29" spans="1:15" ht="18" customHeight="1" x14ac:dyDescent="0.25">
      <c r="A29" s="84">
        <v>1</v>
      </c>
      <c r="B29" s="109" t="str">
        <f>IF((OR(E4="Fall 2024 or Later")),Data!E6, IF((OR(G5="Prior to Fall 2024")), Data!E7, "Please choose a starting term for your program above."))</f>
        <v>Please choose a starting term for your program above.</v>
      </c>
      <c r="C29" s="102"/>
      <c r="D29" s="102"/>
      <c r="E29" s="102"/>
      <c r="F29" s="102"/>
      <c r="G29" s="102"/>
      <c r="H29" s="102"/>
      <c r="I29" s="102"/>
      <c r="J29" s="102"/>
      <c r="K29" s="102"/>
      <c r="L29" s="102"/>
      <c r="M29" s="102"/>
      <c r="N29" s="102"/>
      <c r="O29" s="102"/>
    </row>
    <row r="30" spans="1:15" ht="17.25" customHeight="1" x14ac:dyDescent="0.25">
      <c r="A30" s="84">
        <v>2</v>
      </c>
      <c r="B30" s="109" t="s">
        <v>35</v>
      </c>
      <c r="C30" s="109"/>
      <c r="D30" s="109"/>
      <c r="E30" s="109"/>
      <c r="F30" s="109"/>
      <c r="G30" s="109"/>
      <c r="H30" s="109"/>
      <c r="I30" s="109"/>
      <c r="J30" s="109"/>
      <c r="K30" s="109"/>
      <c r="L30" s="109"/>
      <c r="M30" s="109"/>
      <c r="N30" s="109"/>
      <c r="O30" s="109"/>
    </row>
    <row r="31" spans="1:15" ht="33.75" customHeight="1" x14ac:dyDescent="0.25">
      <c r="A31" s="84">
        <v>3</v>
      </c>
      <c r="B31" s="94" t="s">
        <v>33</v>
      </c>
      <c r="C31" s="94"/>
      <c r="D31" s="94"/>
      <c r="E31" s="94"/>
      <c r="F31" s="94"/>
      <c r="G31" s="94"/>
      <c r="H31" s="94"/>
      <c r="I31" s="94"/>
      <c r="J31" s="94"/>
      <c r="K31" s="94"/>
      <c r="L31" s="94"/>
      <c r="M31" s="94"/>
      <c r="N31" s="94"/>
      <c r="O31" s="94"/>
    </row>
    <row r="32" spans="1:15" ht="61.5" customHeight="1" x14ac:dyDescent="0.25">
      <c r="A32" s="84">
        <v>4</v>
      </c>
      <c r="B32" s="94" t="s">
        <v>53</v>
      </c>
      <c r="C32" s="102"/>
      <c r="D32" s="102"/>
      <c r="E32" s="102"/>
      <c r="F32" s="102"/>
      <c r="G32" s="102"/>
      <c r="H32" s="102"/>
      <c r="I32" s="102"/>
      <c r="J32" s="102"/>
      <c r="K32" s="102"/>
      <c r="L32" s="102"/>
      <c r="M32" s="102"/>
      <c r="N32" s="102"/>
      <c r="O32" s="102"/>
    </row>
    <row r="35" spans="2:15" x14ac:dyDescent="0.25">
      <c r="B35" s="93" t="s">
        <v>24</v>
      </c>
      <c r="C35" s="93"/>
      <c r="D35" s="93"/>
      <c r="E35" s="93"/>
      <c r="F35" s="93"/>
      <c r="G35" s="93"/>
      <c r="H35" s="93"/>
      <c r="I35" s="93"/>
      <c r="J35" s="93"/>
      <c r="K35" s="93"/>
      <c r="L35" s="93"/>
      <c r="M35" s="93"/>
      <c r="N35" s="93"/>
      <c r="O35" s="93"/>
    </row>
  </sheetData>
  <sheetProtection algorithmName="SHA-512" hashValue="yVLbvU4xG31OSsO/C1EA4nKHoOUWbfaY30UWUOAQE+cQTW4DDJsM7yHo61Scyq4msFBVViPjak/Os6pLjySuMQ==" saltValue="5bD1RuKEx1fpWIsSmRJKvw==" spinCount="100000" sheet="1" objects="1" scenarios="1"/>
  <mergeCells count="11">
    <mergeCell ref="B32:O32"/>
    <mergeCell ref="B35:O35"/>
    <mergeCell ref="G2:O2"/>
    <mergeCell ref="C11:D11"/>
    <mergeCell ref="B13:D13"/>
    <mergeCell ref="B14:D14"/>
    <mergeCell ref="B23:F23"/>
    <mergeCell ref="B29:O29"/>
    <mergeCell ref="E4:F4"/>
    <mergeCell ref="B30:O30"/>
    <mergeCell ref="B31:O31"/>
  </mergeCells>
  <hyperlinks>
    <hyperlink ref="B13" r:id="rId1" display="Will you enroll in DU's health insurance plan?" xr:uid="{4429F162-3B94-46EA-B5AD-068B82F5A98A}"/>
    <hyperlink ref="B14" r:id="rId2" display="Will you use DU Health &amp; Counseling Services? " xr:uid="{1EC79EAB-CAC6-442F-A6B6-E95C5D0EB704}"/>
  </hyperlinks>
  <pageMargins left="0.7" right="0.7" top="0.75" bottom="0.75" header="0.3" footer="0.3"/>
  <pageSetup orientation="portrait" horizontalDpi="300" verticalDpi="300"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50608F11-A243-4810-9530-0966C08463DF}">
          <x14:formula1>
            <xm:f>Data!$B$10:$B$11</xm:f>
          </x14:formula1>
          <xm:sqref>E13:E14 K7 M7 O7</xm:sqref>
        </x14:dataValidation>
        <x14:dataValidation type="list" allowBlank="1" showInputMessage="1" showErrorMessage="1" xr:uid="{8204420F-7494-4189-8E5E-94FBDD64FB20}">
          <x14:formula1>
            <xm:f>Data!$E$3:$E$4</xm:f>
          </x14:formula1>
          <xm:sqref>I7</xm:sqref>
        </x14:dataValidation>
        <x14:dataValidation type="list" allowBlank="1" showInputMessage="1" showErrorMessage="1" xr:uid="{5648FAF2-0C22-4C9A-B7CA-FCBCCF218FEA}">
          <x14:formula1>
            <xm:f>Data!$F$9:$F$11</xm:f>
          </x14:formula1>
          <xm:sqref>E4:F4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workbookViewId="0">
      <selection activeCell="D33" sqref="D33"/>
    </sheetView>
  </sheetViews>
  <sheetFormatPr defaultColWidth="8.85546875" defaultRowHeight="15" x14ac:dyDescent="0.25"/>
  <cols>
    <col min="1" max="1" width="22" customWidth="1"/>
    <col min="4" max="4" width="11.85546875" customWidth="1"/>
    <col min="5" max="5" width="6.85546875" customWidth="1"/>
    <col min="6" max="6" width="16.85546875" customWidth="1"/>
    <col min="7" max="7" width="16" customWidth="1"/>
    <col min="8" max="8" width="11.5703125" customWidth="1"/>
  </cols>
  <sheetData>
    <row r="1" spans="1:13" x14ac:dyDescent="0.25">
      <c r="A1" s="35">
        <v>816</v>
      </c>
      <c r="B1" s="7"/>
      <c r="C1" s="7"/>
    </row>
    <row r="2" spans="1:13" x14ac:dyDescent="0.25">
      <c r="A2" t="s">
        <v>19</v>
      </c>
      <c r="B2">
        <v>0</v>
      </c>
      <c r="C2">
        <v>0</v>
      </c>
      <c r="D2" s="30"/>
      <c r="F2" s="30" t="s">
        <v>50</v>
      </c>
      <c r="G2" s="30" t="s">
        <v>47</v>
      </c>
      <c r="H2" s="30" t="s">
        <v>49</v>
      </c>
      <c r="I2" s="30"/>
      <c r="J2" s="30"/>
      <c r="K2" s="30"/>
      <c r="L2" s="30"/>
      <c r="M2" s="30"/>
    </row>
    <row r="3" spans="1:13" x14ac:dyDescent="0.25">
      <c r="A3" t="s">
        <v>14</v>
      </c>
      <c r="B3">
        <v>3264</v>
      </c>
      <c r="C3">
        <v>32</v>
      </c>
      <c r="D3" s="30"/>
      <c r="E3" t="s">
        <v>25</v>
      </c>
      <c r="F3" s="30">
        <v>14959</v>
      </c>
      <c r="G3" s="30">
        <v>14523</v>
      </c>
      <c r="H3" s="30">
        <v>14100</v>
      </c>
      <c r="I3" s="30"/>
      <c r="J3" s="30"/>
      <c r="K3" s="30"/>
      <c r="L3" s="30"/>
      <c r="M3" s="30"/>
    </row>
    <row r="4" spans="1:13" x14ac:dyDescent="0.25">
      <c r="A4" t="s">
        <v>15</v>
      </c>
      <c r="B4">
        <v>6528</v>
      </c>
      <c r="C4">
        <v>64</v>
      </c>
      <c r="E4" t="s">
        <v>26</v>
      </c>
      <c r="F4">
        <v>0</v>
      </c>
      <c r="G4">
        <v>0</v>
      </c>
      <c r="H4">
        <v>0</v>
      </c>
    </row>
    <row r="5" spans="1:13" x14ac:dyDescent="0.25">
      <c r="A5" t="s">
        <v>16</v>
      </c>
      <c r="B5">
        <v>9792</v>
      </c>
      <c r="C5">
        <v>96</v>
      </c>
    </row>
    <row r="6" spans="1:13" x14ac:dyDescent="0.25">
      <c r="A6" t="s">
        <v>17</v>
      </c>
      <c r="B6">
        <v>13056</v>
      </c>
      <c r="C6">
        <v>96</v>
      </c>
      <c r="E6" t="s">
        <v>48</v>
      </c>
    </row>
    <row r="7" spans="1:13" x14ac:dyDescent="0.25">
      <c r="A7" t="s">
        <v>18</v>
      </c>
      <c r="B7">
        <v>16320</v>
      </c>
      <c r="C7">
        <v>112</v>
      </c>
    </row>
    <row r="8" spans="1:13" x14ac:dyDescent="0.25">
      <c r="G8" t="s">
        <v>54</v>
      </c>
    </row>
    <row r="9" spans="1:13" x14ac:dyDescent="0.25">
      <c r="F9" s="30" t="s">
        <v>50</v>
      </c>
      <c r="G9" s="30">
        <v>14959</v>
      </c>
    </row>
    <row r="10" spans="1:13" x14ac:dyDescent="0.25">
      <c r="B10" t="s">
        <v>25</v>
      </c>
      <c r="D10" s="73"/>
      <c r="F10" s="30" t="s">
        <v>47</v>
      </c>
      <c r="G10" s="30">
        <v>14523</v>
      </c>
    </row>
    <row r="11" spans="1:13" x14ac:dyDescent="0.25">
      <c r="B11" t="s">
        <v>26</v>
      </c>
      <c r="D11" s="74"/>
      <c r="F11" s="30" t="s">
        <v>49</v>
      </c>
      <c r="G11" s="30">
        <v>14100</v>
      </c>
    </row>
    <row r="24" spans="1:3" x14ac:dyDescent="0.25">
      <c r="A24" t="s">
        <v>25</v>
      </c>
      <c r="B24">
        <v>1990</v>
      </c>
      <c r="C24">
        <v>258</v>
      </c>
    </row>
    <row r="25" spans="1:3" x14ac:dyDescent="0.25">
      <c r="A25" t="s">
        <v>26</v>
      </c>
      <c r="B25">
        <v>0</v>
      </c>
      <c r="C25">
        <v>0</v>
      </c>
    </row>
  </sheetData>
  <sheetProtection algorithmName="SHA-512" hashValue="HOSaGs+A2C15ydTerLc6Lf+GGaUxxwD1bDi1yGGUkad5SAdUib0AdzZLYUL6hxnRpTAQN4PDSuhzRc40+ifoyQ==" saltValue="SCUOoJMTVaXZnCSugUoAJA=="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Worksheets Home</vt:lpstr>
      <vt:lpstr>Most Programs</vt:lpstr>
      <vt:lpstr>DTI</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 Financial Aid</cp:lastModifiedBy>
  <cp:lastPrinted>2019-02-07T21:36:17Z</cp:lastPrinted>
  <dcterms:created xsi:type="dcterms:W3CDTF">2018-06-06T22:54:45Z</dcterms:created>
  <dcterms:modified xsi:type="dcterms:W3CDTF">2026-02-23T20:16:59Z</dcterms:modified>
</cp:coreProperties>
</file>