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fileSharing readOnlyRecommended="1"/>
  <workbookPr/>
  <mc:AlternateContent xmlns:mc="http://schemas.openxmlformats.org/markup-compatibility/2006">
    <mc:Choice Requires="x15">
      <x15ac:absPath xmlns:x15ac="http://schemas.microsoft.com/office/spreadsheetml/2010/11/ac" url="R:\Financial Aid\Communication\2627\Billing Worksheets\"/>
    </mc:Choice>
  </mc:AlternateContent>
  <xr:revisionPtr revIDLastSave="0" documentId="13_ncr:1_{FBE2CC58-744A-4CA1-8655-57C4693B1A6C}" xr6:coauthVersionLast="47" xr6:coauthVersionMax="47" xr10:uidLastSave="{00000000-0000-0000-0000-000000000000}"/>
  <workbookProtection workbookAlgorithmName="SHA-512" workbookHashValue="vXZO4k0U5VzRF4p6mEAo9V7qS/T/Sayi5XNqqMSGJpexZutYODUZDOY8sK+0xiJGzZIZZID55NaBK7/YjA/Jyw==" workbookSaltValue="6awhGjb0AyMzmaB+rNxm/Q==" workbookSpinCount="100000" lockStructure="1"/>
  <bookViews>
    <workbookView xWindow="-120" yWindow="-120" windowWidth="29040" windowHeight="15720" tabRatio="721" xr2:uid="{00000000-000D-0000-FFFF-FFFF00000000}"/>
  </bookViews>
  <sheets>
    <sheet name="Worksheets Home" sheetId="4" r:id="rId1"/>
    <sheet name="BA" sheetId="30" r:id="rId2"/>
    <sheet name="Master's" sheetId="32" r:id="rId3"/>
    <sheet name="Denver MBA" sheetId="33" r:id="rId4"/>
    <sheet name="PMBA" sheetId="14" r:id="rId5"/>
    <sheet name="EMBA" sheetId="13" r:id="rId6"/>
    <sheet name="MBA@Denver" sheetId="15" r:id="rId7"/>
    <sheet name="Executive PhD" sheetId="34" r:id="rId8"/>
    <sheet name="Data1" sheetId="31" state="hidden" r:id="rId9"/>
  </sheets>
  <definedNames>
    <definedName name="Credits" localSheetId="3">#REF!</definedName>
    <definedName name="Credits" localSheetId="7">#REF!</definedName>
    <definedName name="Credi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3" i="33" l="1"/>
  <c r="K13" i="33"/>
  <c r="M15" i="30"/>
  <c r="K15" i="30"/>
  <c r="I15" i="30"/>
  <c r="K10" i="15"/>
  <c r="O10" i="15"/>
  <c r="I10" i="15"/>
  <c r="M10" i="15"/>
  <c r="N15" i="32"/>
  <c r="L15" i="32"/>
  <c r="J15" i="32"/>
  <c r="L6" i="31"/>
  <c r="L7" i="31"/>
  <c r="L8" i="31" s="1"/>
  <c r="L9" i="31" s="1"/>
  <c r="L10" i="31" s="1"/>
  <c r="L11" i="31" s="1"/>
  <c r="L12" i="31" s="1"/>
  <c r="L13" i="31" s="1"/>
  <c r="L14" i="31" s="1"/>
  <c r="L15" i="31" s="1"/>
  <c r="L16" i="31" s="1"/>
  <c r="L17" i="31" s="1"/>
  <c r="L18" i="31" s="1"/>
  <c r="L19" i="31" s="1"/>
  <c r="L20" i="31" s="1"/>
  <c r="L21" i="31" s="1"/>
  <c r="L22" i="31" s="1"/>
  <c r="L5" i="31"/>
  <c r="L4" i="31"/>
  <c r="B30" i="13"/>
  <c r="O10" i="14"/>
  <c r="M10" i="14"/>
  <c r="K10" i="14"/>
  <c r="O12" i="13"/>
  <c r="M12" i="13"/>
  <c r="K12" i="13"/>
  <c r="I12" i="13"/>
  <c r="M13" i="34"/>
  <c r="K13" i="34"/>
  <c r="I10" i="14"/>
  <c r="I13" i="34"/>
  <c r="N29" i="31"/>
  <c r="N30" i="31"/>
  <c r="N31" i="31" s="1"/>
  <c r="N32" i="31" s="1"/>
  <c r="N33" i="31" s="1"/>
  <c r="N34" i="31" s="1"/>
  <c r="N35" i="31" s="1"/>
  <c r="N36" i="31" s="1"/>
  <c r="N37" i="31" s="1"/>
  <c r="N38" i="31" s="1"/>
  <c r="N39" i="31" s="1"/>
  <c r="N40" i="31" s="1"/>
  <c r="N41" i="31" s="1"/>
  <c r="N42" i="31" s="1"/>
  <c r="N43" i="31" s="1"/>
  <c r="N28" i="31"/>
  <c r="L29" i="31"/>
  <c r="L30" i="31" s="1"/>
  <c r="L31" i="31" s="1"/>
  <c r="L32" i="31" s="1"/>
  <c r="L33" i="31" s="1"/>
  <c r="L34" i="31" s="1"/>
  <c r="L35" i="31" s="1"/>
  <c r="L36" i="31" s="1"/>
  <c r="L37" i="31" s="1"/>
  <c r="L38" i="31" s="1"/>
  <c r="L39" i="31" s="1"/>
  <c r="L40" i="31" s="1"/>
  <c r="L41" i="31" s="1"/>
  <c r="L42" i="31" s="1"/>
  <c r="L43" i="31" s="1"/>
  <c r="L28" i="31"/>
  <c r="L27" i="31"/>
  <c r="N27" i="31"/>
  <c r="M18" i="34"/>
  <c r="K18" i="34"/>
  <c r="I18" i="34"/>
  <c r="H48" i="31"/>
  <c r="H49" i="31" s="1"/>
  <c r="H50" i="31" s="1"/>
  <c r="H51" i="31" s="1"/>
  <c r="H52" i="31" s="1"/>
  <c r="H53" i="31" s="1"/>
  <c r="H54" i="31" s="1"/>
  <c r="H55" i="31" s="1"/>
  <c r="H56" i="31" s="1"/>
  <c r="H57" i="31" s="1"/>
  <c r="H58" i="31" s="1"/>
  <c r="H59" i="31" s="1"/>
  <c r="H60" i="31" s="1"/>
  <c r="H61" i="31" s="1"/>
  <c r="H62" i="31" s="1"/>
  <c r="H63" i="31" s="1"/>
  <c r="H64" i="31" s="1"/>
  <c r="G49" i="31"/>
  <c r="G50" i="31" s="1"/>
  <c r="G51" i="31" s="1"/>
  <c r="G52" i="31" s="1"/>
  <c r="G53" i="31" s="1"/>
  <c r="G54" i="31" s="1"/>
  <c r="G55" i="31" s="1"/>
  <c r="G56" i="31" s="1"/>
  <c r="G57" i="31" s="1"/>
  <c r="G58" i="31" s="1"/>
  <c r="G59" i="31" s="1"/>
  <c r="G60" i="31" s="1"/>
  <c r="G61" i="31" s="1"/>
  <c r="G62" i="31" s="1"/>
  <c r="G63" i="31" s="1"/>
  <c r="G64" i="31" s="1"/>
  <c r="O15" i="13"/>
  <c r="M15" i="13"/>
  <c r="K15" i="13"/>
  <c r="I15" i="13"/>
  <c r="H4" i="31"/>
  <c r="H5" i="31" s="1"/>
  <c r="H6" i="31" s="1"/>
  <c r="H7" i="31" s="1"/>
  <c r="H8" i="31" s="1"/>
  <c r="H9" i="31" s="1"/>
  <c r="H10" i="31" s="1"/>
  <c r="H11" i="31" s="1"/>
  <c r="H12" i="31" s="1"/>
  <c r="H13" i="31" s="1"/>
  <c r="H14" i="31" s="1"/>
  <c r="H15" i="31" s="1"/>
  <c r="H16" i="31" s="1"/>
  <c r="H17" i="31" s="1"/>
  <c r="H18" i="31" s="1"/>
  <c r="H19" i="31" s="1"/>
  <c r="H20" i="31" s="1"/>
  <c r="H21" i="31" s="1"/>
  <c r="H22" i="31" s="1"/>
  <c r="G4" i="31"/>
  <c r="G5" i="31" s="1"/>
  <c r="G6" i="31" s="1"/>
  <c r="G7" i="31" s="1"/>
  <c r="G8" i="31" s="1"/>
  <c r="G9" i="31" s="1"/>
  <c r="G10" i="31" s="1"/>
  <c r="G11" i="31" s="1"/>
  <c r="G12" i="31" s="1"/>
  <c r="G13" i="31" s="1"/>
  <c r="G14" i="31" s="1"/>
  <c r="G15" i="31" s="1"/>
  <c r="G16" i="31" s="1"/>
  <c r="G17" i="31" s="1"/>
  <c r="G18" i="31" s="1"/>
  <c r="G19" i="31" s="1"/>
  <c r="G20" i="31" s="1"/>
  <c r="G21" i="31" s="1"/>
  <c r="G22" i="31" s="1"/>
  <c r="I13" i="33"/>
  <c r="M18" i="33"/>
  <c r="K18" i="33"/>
  <c r="I18" i="33"/>
  <c r="I13" i="14"/>
  <c r="O13" i="14"/>
  <c r="M13" i="14"/>
  <c r="K13" i="14"/>
  <c r="F27" i="31"/>
  <c r="M27" i="31"/>
  <c r="M28" i="31" s="1"/>
  <c r="M29" i="31" s="1"/>
  <c r="M30" i="31" s="1"/>
  <c r="M31" i="31" s="1"/>
  <c r="M32" i="31" s="1"/>
  <c r="M33" i="31" s="1"/>
  <c r="M34" i="31" s="1"/>
  <c r="M35" i="31" s="1"/>
  <c r="M36" i="31" s="1"/>
  <c r="M37" i="31" s="1"/>
  <c r="M38" i="31" s="1"/>
  <c r="M39" i="31" s="1"/>
  <c r="M40" i="31" s="1"/>
  <c r="M41" i="31" s="1"/>
  <c r="M42" i="31" s="1"/>
  <c r="M43" i="31" s="1"/>
  <c r="H27" i="31"/>
  <c r="H28" i="31" s="1"/>
  <c r="H29" i="31" s="1"/>
  <c r="H30" i="31" s="1"/>
  <c r="H31" i="31" s="1"/>
  <c r="H32" i="31" s="1"/>
  <c r="H33" i="31" s="1"/>
  <c r="H34" i="31" s="1"/>
  <c r="H35" i="31" s="1"/>
  <c r="H36" i="31" s="1"/>
  <c r="H37" i="31" s="1"/>
  <c r="H38" i="31" s="1"/>
  <c r="H39" i="31" s="1"/>
  <c r="H40" i="31" s="1"/>
  <c r="H41" i="31" s="1"/>
  <c r="H42" i="31" s="1"/>
  <c r="H43" i="31" s="1"/>
  <c r="M4" i="31"/>
  <c r="M5" i="31" s="1"/>
  <c r="M6" i="31" s="1"/>
  <c r="M7" i="31" s="1"/>
  <c r="M8" i="31" s="1"/>
  <c r="M9" i="31" s="1"/>
  <c r="M10" i="31" s="1"/>
  <c r="M11" i="31" s="1"/>
  <c r="M12" i="31" s="1"/>
  <c r="M13" i="31" s="1"/>
  <c r="M14" i="31" s="1"/>
  <c r="M15" i="31" s="1"/>
  <c r="M16" i="31" s="1"/>
  <c r="M17" i="31" s="1"/>
  <c r="M18" i="31" s="1"/>
  <c r="M19" i="31" s="1"/>
  <c r="M20" i="31" s="1"/>
  <c r="M21" i="31" s="1"/>
  <c r="M22" i="31" s="1"/>
  <c r="I5" i="31"/>
  <c r="I6" i="31" s="1"/>
  <c r="I7" i="31" s="1"/>
  <c r="I8" i="31" s="1"/>
  <c r="I9" i="31" s="1"/>
  <c r="I10" i="31" s="1"/>
  <c r="I11" i="31" s="1"/>
  <c r="I12" i="31" s="1"/>
  <c r="I13" i="31" s="1"/>
  <c r="I14" i="31" s="1"/>
  <c r="I15" i="31" s="1"/>
  <c r="I16" i="31" s="1"/>
  <c r="I17" i="31" s="1"/>
  <c r="I18" i="31" s="1"/>
  <c r="I19" i="31" s="1"/>
  <c r="I20" i="31" s="1"/>
  <c r="I21" i="31" s="1"/>
  <c r="I22" i="31" s="1"/>
  <c r="I4" i="31"/>
  <c r="C4" i="31"/>
  <c r="C5" i="31" s="1"/>
  <c r="C6" i="31" s="1"/>
  <c r="C7" i="31" s="1"/>
  <c r="C8" i="31" s="1"/>
  <c r="C9" i="31" s="1"/>
  <c r="C10" i="31" s="1"/>
  <c r="C11" i="31" s="1"/>
  <c r="C12" i="31" s="1"/>
  <c r="C13" i="31" s="1"/>
  <c r="C14" i="31" s="1"/>
  <c r="C15" i="31" s="1"/>
  <c r="C16" i="31" s="1"/>
  <c r="C17" i="31" s="1"/>
  <c r="C18" i="31" s="1"/>
  <c r="C19" i="31" s="1"/>
  <c r="C20" i="31" s="1"/>
  <c r="C21" i="31" s="1"/>
  <c r="C22" i="31" s="1"/>
  <c r="M16" i="34"/>
  <c r="I16" i="34"/>
  <c r="K16" i="34"/>
  <c r="I15" i="34"/>
  <c r="K15" i="34"/>
  <c r="O11" i="15"/>
  <c r="M11" i="15"/>
  <c r="K11" i="15"/>
  <c r="I11" i="15"/>
  <c r="O11" i="14"/>
  <c r="M11" i="14"/>
  <c r="K11" i="14"/>
  <c r="I11" i="14"/>
  <c r="M16" i="33"/>
  <c r="K16" i="33"/>
  <c r="I16" i="33"/>
  <c r="M13" i="30"/>
  <c r="K13" i="30"/>
  <c r="I13" i="30"/>
  <c r="M12" i="30"/>
  <c r="K12" i="30"/>
  <c r="I12" i="30"/>
  <c r="M10" i="30"/>
  <c r="K10" i="30"/>
  <c r="I10" i="30"/>
  <c r="M15" i="33"/>
  <c r="K15" i="33"/>
  <c r="I15" i="33"/>
  <c r="O22" i="13"/>
  <c r="M22" i="13"/>
  <c r="K22" i="13"/>
  <c r="I22" i="13"/>
  <c r="O23" i="13"/>
  <c r="M23" i="13"/>
  <c r="K23" i="13"/>
  <c r="I23" i="13"/>
  <c r="O20" i="13"/>
  <c r="M20" i="13"/>
  <c r="K20" i="13"/>
  <c r="I20" i="13"/>
  <c r="O19" i="13"/>
  <c r="M19" i="13"/>
  <c r="K19" i="13"/>
  <c r="I19" i="13"/>
  <c r="O21" i="13"/>
  <c r="M21" i="13"/>
  <c r="K21" i="13"/>
  <c r="I21" i="13"/>
  <c r="M15" i="34"/>
  <c r="B33" i="34"/>
  <c r="M14" i="13"/>
  <c r="I14" i="13"/>
  <c r="O13" i="13"/>
  <c r="M13" i="13"/>
  <c r="K13" i="13"/>
  <c r="I13" i="13"/>
  <c r="F28" i="31" l="1"/>
  <c r="F29" i="31" s="1"/>
  <c r="F30" i="31" s="1"/>
  <c r="F31" i="31" s="1"/>
  <c r="F32" i="31" s="1"/>
  <c r="F33" i="31" s="1"/>
  <c r="F34" i="31" s="1"/>
  <c r="F35" i="31" s="1"/>
  <c r="F36" i="31" s="1"/>
  <c r="F37" i="31" s="1"/>
  <c r="F38" i="31" s="1"/>
  <c r="F39" i="31" s="1"/>
  <c r="F40" i="31" s="1"/>
  <c r="F41" i="31" s="1"/>
  <c r="F42" i="31" s="1"/>
  <c r="F43" i="31" s="1"/>
  <c r="G27" i="34"/>
  <c r="M26" i="34"/>
  <c r="K26" i="34"/>
  <c r="I26" i="34"/>
  <c r="M25" i="34"/>
  <c r="K25" i="34"/>
  <c r="I25" i="34"/>
  <c r="M24" i="34"/>
  <c r="K24" i="34"/>
  <c r="I24" i="34"/>
  <c r="M23" i="34"/>
  <c r="K23" i="34"/>
  <c r="I23" i="34"/>
  <c r="M22" i="34"/>
  <c r="K22" i="34"/>
  <c r="I22" i="34"/>
  <c r="M17" i="34"/>
  <c r="I17" i="34"/>
  <c r="G15" i="34"/>
  <c r="B33" i="33"/>
  <c r="N12" i="32"/>
  <c r="N13" i="32"/>
  <c r="L13" i="32"/>
  <c r="J13" i="32"/>
  <c r="L12" i="32"/>
  <c r="J12" i="32"/>
  <c r="N10" i="32"/>
  <c r="L10" i="32"/>
  <c r="J10" i="32"/>
  <c r="G18" i="34" l="1"/>
  <c r="G17" i="34"/>
  <c r="G24" i="34"/>
  <c r="K19" i="34"/>
  <c r="K28" i="34"/>
  <c r="G25" i="34"/>
  <c r="M28" i="34"/>
  <c r="I28" i="34"/>
  <c r="M19" i="34"/>
  <c r="G16" i="34"/>
  <c r="G13" i="34"/>
  <c r="I19" i="34"/>
  <c r="M30" i="34" l="1"/>
  <c r="K30" i="34"/>
  <c r="G19" i="34"/>
  <c r="G28" i="34"/>
  <c r="I30" i="34"/>
  <c r="G30" i="34" l="1"/>
  <c r="N20" i="32"/>
  <c r="L20" i="32"/>
  <c r="J20" i="32"/>
  <c r="N22" i="32"/>
  <c r="L22" i="32"/>
  <c r="J22" i="32"/>
  <c r="N19" i="32"/>
  <c r="L19" i="32"/>
  <c r="J19" i="32"/>
  <c r="M26" i="33"/>
  <c r="K26" i="33"/>
  <c r="I26" i="33"/>
  <c r="M25" i="33"/>
  <c r="K25" i="33"/>
  <c r="I25" i="33"/>
  <c r="O21" i="14"/>
  <c r="M21" i="14"/>
  <c r="K21" i="14"/>
  <c r="I21" i="14"/>
  <c r="O20" i="14"/>
  <c r="M20" i="14"/>
  <c r="K20" i="14"/>
  <c r="I20" i="14"/>
  <c r="G24" i="13"/>
  <c r="G20" i="14" l="1"/>
  <c r="G25" i="33"/>
  <c r="I14" i="30"/>
  <c r="O18" i="15"/>
  <c r="M18" i="15"/>
  <c r="K18" i="15"/>
  <c r="I18" i="15"/>
  <c r="O17" i="15"/>
  <c r="M17" i="15"/>
  <c r="K17" i="15"/>
  <c r="I17" i="15"/>
  <c r="O19" i="14"/>
  <c r="M19" i="14"/>
  <c r="K19" i="14"/>
  <c r="I19" i="14"/>
  <c r="G27" i="33"/>
  <c r="M24" i="33"/>
  <c r="K24" i="33"/>
  <c r="I24" i="33"/>
  <c r="M23" i="33"/>
  <c r="K23" i="33"/>
  <c r="I23" i="33"/>
  <c r="M22" i="33"/>
  <c r="K22" i="33"/>
  <c r="I22" i="33"/>
  <c r="M17" i="33"/>
  <c r="I17" i="33"/>
  <c r="K19" i="33" l="1"/>
  <c r="K28" i="33"/>
  <c r="M28" i="33"/>
  <c r="G17" i="33"/>
  <c r="M19" i="33"/>
  <c r="G24" i="33"/>
  <c r="G18" i="33"/>
  <c r="I28" i="33"/>
  <c r="I19" i="33"/>
  <c r="G16" i="33"/>
  <c r="G15" i="33"/>
  <c r="G13" i="33"/>
  <c r="K30" i="33" l="1"/>
  <c r="G28" i="33"/>
  <c r="M30" i="33"/>
  <c r="G19" i="33"/>
  <c r="I30" i="33"/>
  <c r="G30" i="33" l="1"/>
  <c r="N21" i="32"/>
  <c r="L21" i="32"/>
  <c r="J21" i="32"/>
  <c r="M22" i="30"/>
  <c r="K22" i="30"/>
  <c r="I22" i="30"/>
  <c r="M21" i="30"/>
  <c r="K21" i="30"/>
  <c r="I21" i="30"/>
  <c r="M12" i="14" l="1"/>
  <c r="I12" i="14"/>
  <c r="G18" i="15" l="1"/>
  <c r="G17" i="15"/>
  <c r="G22" i="13"/>
  <c r="G21" i="13"/>
  <c r="G19" i="14"/>
  <c r="G25" i="13" l="1"/>
  <c r="N14" i="32"/>
  <c r="J14" i="32"/>
  <c r="J23" i="32" l="1"/>
  <c r="J25" i="32" s="1"/>
  <c r="L23" i="32"/>
  <c r="L25" i="32" s="1"/>
  <c r="N23" i="32"/>
  <c r="N25" i="32" s="1"/>
  <c r="H24" i="32"/>
  <c r="H13" i="32" l="1"/>
  <c r="N16" i="32"/>
  <c r="H14" i="32"/>
  <c r="H15" i="32"/>
  <c r="L16" i="32"/>
  <c r="H12" i="32"/>
  <c r="H10" i="32"/>
  <c r="H21" i="32"/>
  <c r="H22" i="32"/>
  <c r="J16" i="32"/>
  <c r="H25" i="32" l="1"/>
  <c r="N27" i="32"/>
  <c r="L27" i="32"/>
  <c r="H16" i="32"/>
  <c r="J27" i="32"/>
  <c r="H27" i="32" l="1"/>
  <c r="M14" i="30" l="1"/>
  <c r="G22" i="30" l="1"/>
  <c r="G21" i="30"/>
  <c r="G24" i="30" l="1"/>
  <c r="M23" i="30"/>
  <c r="K23" i="30"/>
  <c r="I23" i="30"/>
  <c r="M20" i="30"/>
  <c r="K20" i="30"/>
  <c r="I20" i="30"/>
  <c r="M19" i="30"/>
  <c r="K19" i="30"/>
  <c r="I19" i="30"/>
  <c r="M16" i="30" l="1"/>
  <c r="G14" i="30"/>
  <c r="G15" i="30"/>
  <c r="K16" i="30"/>
  <c r="I16" i="30"/>
  <c r="G13" i="30"/>
  <c r="G12" i="30"/>
  <c r="M25" i="30"/>
  <c r="G25" i="30"/>
  <c r="G10" i="30"/>
  <c r="M27" i="30" l="1"/>
  <c r="G16" i="30"/>
  <c r="G27" i="30" s="1"/>
  <c r="I25" i="30"/>
  <c r="I27" i="30" s="1"/>
  <c r="K25" i="30"/>
  <c r="K27" i="30" s="1"/>
  <c r="O19" i="15" l="1"/>
  <c r="O16" i="15"/>
  <c r="O15" i="15"/>
  <c r="M19" i="15"/>
  <c r="M16" i="15"/>
  <c r="M15" i="15"/>
  <c r="K19" i="15"/>
  <c r="K16" i="15"/>
  <c r="K15" i="15"/>
  <c r="I19" i="15"/>
  <c r="I16" i="15"/>
  <c r="I15" i="15"/>
  <c r="O18" i="14"/>
  <c r="M18" i="14"/>
  <c r="K18" i="14"/>
  <c r="O17" i="14"/>
  <c r="M17" i="14"/>
  <c r="K17" i="14"/>
  <c r="O25" i="13" l="1"/>
  <c r="I25" i="13"/>
  <c r="K25" i="13"/>
  <c r="M25" i="13"/>
  <c r="G20" i="15"/>
  <c r="M21" i="15" l="1"/>
  <c r="O12" i="15"/>
  <c r="M12" i="15"/>
  <c r="K12" i="15"/>
  <c r="G11" i="15"/>
  <c r="I12" i="15"/>
  <c r="G10" i="15"/>
  <c r="G21" i="15"/>
  <c r="I18" i="14"/>
  <c r="I17" i="14"/>
  <c r="G22" i="14"/>
  <c r="O21" i="15" l="1"/>
  <c r="O23" i="15" s="1"/>
  <c r="M23" i="15"/>
  <c r="M23" i="14"/>
  <c r="G14" i="13"/>
  <c r="G15" i="13"/>
  <c r="G23" i="14"/>
  <c r="I21" i="15"/>
  <c r="I23" i="15" s="1"/>
  <c r="G12" i="15"/>
  <c r="G23" i="15" s="1"/>
  <c r="K21" i="15"/>
  <c r="K23" i="15" s="1"/>
  <c r="G12" i="14"/>
  <c r="G13" i="14"/>
  <c r="O14" i="14"/>
  <c r="K14" i="14"/>
  <c r="M14" i="14"/>
  <c r="G10" i="14"/>
  <c r="I14" i="14"/>
  <c r="G11" i="14"/>
  <c r="K16" i="13"/>
  <c r="K27" i="13" s="1"/>
  <c r="O16" i="13"/>
  <c r="O27" i="13" s="1"/>
  <c r="M16" i="13"/>
  <c r="M27" i="13" s="1"/>
  <c r="I16" i="13"/>
  <c r="I27" i="13" s="1"/>
  <c r="K23" i="14" l="1"/>
  <c r="K25" i="14" s="1"/>
  <c r="I23" i="14"/>
  <c r="I25" i="14" s="1"/>
  <c r="O23" i="14"/>
  <c r="O25" i="14" s="1"/>
  <c r="G14" i="14"/>
  <c r="G25" i="14" s="1"/>
  <c r="M25" i="14"/>
  <c r="G12" i="13"/>
  <c r="G13" i="13"/>
  <c r="G16" i="13" l="1"/>
  <c r="G27" i="13" s="1"/>
</calcChain>
</file>

<file path=xl/sharedStrings.xml><?xml version="1.0" encoding="utf-8"?>
<sst xmlns="http://schemas.openxmlformats.org/spreadsheetml/2006/main" count="464" uniqueCount="125">
  <si>
    <t>Fees:</t>
  </si>
  <si>
    <r>
      <t>Tuition</t>
    </r>
    <r>
      <rPr>
        <vertAlign val="superscript"/>
        <sz val="11"/>
        <color theme="1"/>
        <rFont val="Calibri"/>
        <family val="2"/>
        <scheme val="minor"/>
      </rPr>
      <t>1</t>
    </r>
  </si>
  <si>
    <r>
      <t>Technology Fee</t>
    </r>
    <r>
      <rPr>
        <vertAlign val="superscript"/>
        <sz val="11"/>
        <color theme="1"/>
        <rFont val="Calibri"/>
        <family val="2"/>
        <scheme val="minor"/>
      </rPr>
      <t>2</t>
    </r>
  </si>
  <si>
    <t>ANNUAL</t>
  </si>
  <si>
    <t>Yes</t>
  </si>
  <si>
    <t>No</t>
  </si>
  <si>
    <t>Total Charges:</t>
  </si>
  <si>
    <t>CHARGES</t>
  </si>
  <si>
    <t>Outside Scholarship(s)</t>
  </si>
  <si>
    <t>Other Assistance</t>
  </si>
  <si>
    <t>Total Credits:</t>
  </si>
  <si>
    <t>CREDITS</t>
  </si>
  <si>
    <t>Estimated Balance:</t>
  </si>
  <si>
    <t>Notes:</t>
  </si>
  <si>
    <r>
      <t xml:space="preserve">Financial Aid | University Hall 255 | Ph: 303-871-4020 | Fax: 303-871-2341 | </t>
    </r>
    <r>
      <rPr>
        <u/>
        <sz val="11"/>
        <color rgb="FF98002E"/>
        <rFont val="Calibri"/>
        <family val="2"/>
        <scheme val="minor"/>
      </rPr>
      <t>finaid@du.edu</t>
    </r>
    <r>
      <rPr>
        <sz val="11"/>
        <color theme="1"/>
        <rFont val="Calibri"/>
        <family val="2"/>
        <scheme val="minor"/>
      </rPr>
      <t xml:space="preserve"> | </t>
    </r>
    <r>
      <rPr>
        <u/>
        <sz val="11"/>
        <color rgb="FF98002E"/>
        <rFont val="Calibri"/>
        <family val="2"/>
        <scheme val="minor"/>
      </rPr>
      <t>www.du.edu/financialaid</t>
    </r>
  </si>
  <si>
    <t>How many credits do you plan to take each quarter?</t>
  </si>
  <si>
    <t>DU Scholarships and Grants</t>
  </si>
  <si>
    <t>Student Fees</t>
  </si>
  <si>
    <r>
      <t>Direct Unsubsidized Loan</t>
    </r>
    <r>
      <rPr>
        <vertAlign val="superscript"/>
        <sz val="11"/>
        <color theme="1"/>
        <rFont val="Calibri"/>
        <family val="2"/>
        <scheme val="minor"/>
      </rPr>
      <t>3</t>
    </r>
  </si>
  <si>
    <r>
      <t>Direct Graduate PLUS Loan</t>
    </r>
    <r>
      <rPr>
        <vertAlign val="superscript"/>
        <sz val="11"/>
        <color theme="1"/>
        <rFont val="Calibri"/>
        <family val="2"/>
        <scheme val="minor"/>
      </rPr>
      <t>4</t>
    </r>
  </si>
  <si>
    <t>What is the starting term for your cohort?</t>
  </si>
  <si>
    <t>Health Insurance</t>
  </si>
  <si>
    <t>Other Annual Assistance</t>
  </si>
  <si>
    <t>Payment(s) Made and/or Employer Reimbursements</t>
  </si>
  <si>
    <t>Denver MBA</t>
  </si>
  <si>
    <t>4 credits</t>
  </si>
  <si>
    <t>5 credits</t>
  </si>
  <si>
    <t>6 credits</t>
  </si>
  <si>
    <t>7 credits</t>
  </si>
  <si>
    <t>8 credits</t>
  </si>
  <si>
    <t>9 credits</t>
  </si>
  <si>
    <t>10 credits</t>
  </si>
  <si>
    <t>11 credits</t>
  </si>
  <si>
    <t>12 credits</t>
  </si>
  <si>
    <t>13 credits</t>
  </si>
  <si>
    <t>14 credits</t>
  </si>
  <si>
    <t>15 credits</t>
  </si>
  <si>
    <t>16 credits</t>
  </si>
  <si>
    <t>17 credits</t>
  </si>
  <si>
    <t>18 credits</t>
  </si>
  <si>
    <t>19 credits</t>
  </si>
  <si>
    <t>20 credits</t>
  </si>
  <si>
    <t>EMBA</t>
  </si>
  <si>
    <t>not enrolled</t>
  </si>
  <si>
    <t>How many credits will you take each quarter?</t>
  </si>
  <si>
    <t>Tech Fee</t>
  </si>
  <si>
    <t>Executive PhD</t>
  </si>
  <si>
    <t>Student Fee</t>
  </si>
  <si>
    <t>Denver MBA Full-Time Program</t>
  </si>
  <si>
    <t>Professional MBA Program</t>
  </si>
  <si>
    <t>MBA@ Denver Online Program</t>
  </si>
  <si>
    <t>Executive PhD Program</t>
  </si>
  <si>
    <t>21 credits</t>
  </si>
  <si>
    <t>22 credits</t>
  </si>
  <si>
    <t>Master's in Business Analytics Program</t>
  </si>
  <si>
    <t>All Other Specialized Master's Programs</t>
  </si>
  <si>
    <t>Will you enroll in DU's Health Insurance Plan?</t>
  </si>
  <si>
    <r>
      <rPr>
        <b/>
        <i/>
        <sz val="11"/>
        <color rgb="FF000000"/>
        <rFont val="Calibri"/>
        <family val="2"/>
        <scheme val="minor"/>
      </rPr>
      <t xml:space="preserve">Note: </t>
    </r>
    <r>
      <rPr>
        <i/>
        <sz val="11"/>
        <color rgb="FF000000"/>
        <rFont val="Calibri"/>
        <family val="2"/>
        <scheme val="minor"/>
      </rPr>
      <t xml:space="preserve">If you are in the Master's of Business Analytics program, please use the worksheet on the previous tab. </t>
    </r>
  </si>
  <si>
    <t>Business Analytics</t>
  </si>
  <si>
    <t>PMBA &amp; 2U</t>
  </si>
  <si>
    <t>Executive MBA Program</t>
  </si>
  <si>
    <t>Choose Your Program:</t>
  </si>
  <si>
    <t>Tuition</t>
  </si>
  <si>
    <t>select</t>
  </si>
  <si>
    <r>
      <t>DU Health &amp; Counseling Fee</t>
    </r>
    <r>
      <rPr>
        <u/>
        <vertAlign val="superscript"/>
        <sz val="11"/>
        <color theme="10"/>
        <rFont val="Calibri"/>
        <family val="2"/>
        <scheme val="minor"/>
      </rPr>
      <t>3</t>
    </r>
  </si>
  <si>
    <r>
      <t>Direct Unsubsidized Loan</t>
    </r>
    <r>
      <rPr>
        <vertAlign val="superscript"/>
        <sz val="11"/>
        <color theme="1"/>
        <rFont val="Calibri"/>
        <family val="2"/>
        <scheme val="minor"/>
      </rPr>
      <t>4</t>
    </r>
  </si>
  <si>
    <r>
      <t>Direct Graduate PLUS Loan</t>
    </r>
    <r>
      <rPr>
        <vertAlign val="superscript"/>
        <sz val="11"/>
        <color theme="1"/>
        <rFont val="Calibri"/>
        <family val="2"/>
        <scheme val="minor"/>
      </rPr>
      <t>5</t>
    </r>
  </si>
  <si>
    <t>This worksheet automatically deducts the 1.057% origination fee from the Direct Unsubsidized loan amount.  Most students who submit the FAFSA
are eligible to borrow up to $20,500 in an unsubsidized loan per academic year.</t>
  </si>
  <si>
    <t>Master's Programs</t>
  </si>
  <si>
    <t>Denver MBA Tuition:</t>
  </si>
  <si>
    <t>The tuition rate for students who started in the fall of 2024 is $1,236 per credit.</t>
  </si>
  <si>
    <t>EMBA Tuition:</t>
  </si>
  <si>
    <t>The tuition rate for students who started in the fall of 2024 or spring of 2025 is $1,743 per credit.</t>
  </si>
  <si>
    <t>This worksheet automatically deducts the 1.057% origination fee from the Direct Unsubsidized loan amount. Most students who submit the FAFSA are eligible to 
borrow up to $20,500 in an unsubsidized loan per academic year.</t>
  </si>
  <si>
    <r>
      <rPr>
        <vertAlign val="superscript"/>
        <sz val="11"/>
        <color theme="1"/>
        <rFont val="Calibri"/>
        <family val="2"/>
        <scheme val="minor"/>
      </rPr>
      <t>4</t>
    </r>
    <r>
      <rPr>
        <sz val="11"/>
        <color theme="1"/>
        <rFont val="Calibri"/>
        <family val="2"/>
        <scheme val="minor"/>
      </rPr>
      <t>This worksheet automatically deducts the 1.057% origination fee from the Direct Unsubsidized loan amount. Most students who submit the FAFSA
   are eligible to borrow up to $20,500 in an unsubsidized loan per academic year.</t>
    </r>
  </si>
  <si>
    <r>
      <rPr>
        <vertAlign val="superscript"/>
        <sz val="11"/>
        <color theme="1"/>
        <rFont val="Calibri"/>
        <family val="2"/>
        <scheme val="minor"/>
      </rPr>
      <t>4</t>
    </r>
    <r>
      <rPr>
        <sz val="11"/>
        <color theme="1"/>
        <rFont val="Calibri"/>
        <family val="2"/>
        <scheme val="minor"/>
      </rPr>
      <t>This worksheet automatically deducts the 1.057% origination fee from the Direct Unsubsidized loan amount. Most students who submit the FAFSA are eligible to
   borrow up to $20,500 in an unsubsidized loan per academic year.</t>
    </r>
  </si>
  <si>
    <r>
      <rPr>
        <vertAlign val="superscript"/>
        <sz val="11"/>
        <color theme="1"/>
        <rFont val="Calibri"/>
        <family val="2"/>
        <scheme val="minor"/>
      </rPr>
      <t>3</t>
    </r>
    <r>
      <rPr>
        <sz val="11"/>
        <color theme="1"/>
        <rFont val="Calibri"/>
        <family val="2"/>
        <scheme val="minor"/>
      </rPr>
      <t>This worksheet automatically deducts the 1.057% origination fee from the Direct Unsubsidized loan amount.  Most students who submit the FAFSA are
   eligible to borrow up to $20,500 in an unsubsidized loan per academic year.</t>
    </r>
  </si>
  <si>
    <t>Exec PhD Tuition:</t>
  </si>
  <si>
    <t>The tuition rate for students who started in the fall of 2024 is $1,623 per credit.</t>
  </si>
  <si>
    <t>2025 Fall Quarter</t>
  </si>
  <si>
    <t>2025 Start</t>
  </si>
  <si>
    <t>2025 Fall or 2026 Spring Quarter</t>
  </si>
  <si>
    <t>The tuition rate for students who started in the fall of 2025 is $1,236 per credit.</t>
  </si>
  <si>
    <t>The tuition rate for students who started in the fall of 2025 or spring of 2026 is $1,830 per credit.</t>
  </si>
  <si>
    <t>The tuition rate for students who started in the fall of 2025 is $1,680 per credit.</t>
  </si>
  <si>
    <r>
      <t xml:space="preserve">2026-27 Estimated Billing Worksheets
</t>
    </r>
    <r>
      <rPr>
        <b/>
        <i/>
        <sz val="16"/>
        <color theme="1"/>
        <rFont val="Calibri"/>
        <family val="2"/>
        <scheme val="minor"/>
      </rPr>
      <t>Daniels College of Business</t>
    </r>
  </si>
  <si>
    <r>
      <t>These worksheets are designed to help you estimate your invoices throughout the academic year.</t>
    </r>
    <r>
      <rPr>
        <b/>
        <sz val="11"/>
        <color rgb="FF000000"/>
        <rFont val="Calibri"/>
        <family val="2"/>
        <scheme val="minor"/>
      </rPr>
      <t xml:space="preserve"> In order to complete a worksheet, you'll need a copy of your most recent 2026-2027 financial aid offer.</t>
    </r>
    <r>
      <rPr>
        <sz val="11"/>
        <color rgb="FF000000"/>
        <rFont val="Calibri"/>
        <family val="2"/>
        <scheme val="minor"/>
      </rPr>
      <t xml:space="preserve"> Fill in the sections highlighted in blue. You will likely not have all the types of aid listed in the "credits" section. Please remember that these worksheets are only a planning tool. Additional, unanticipated charges or credits may be included on your actual bill. </t>
    </r>
  </si>
  <si>
    <t>The tuition rate for students who started in the fall of 2026 is $1,680 per credit.</t>
  </si>
  <si>
    <t>The tuition rate for students who started in the fall of 2026 or spring of 2027 is $1,600 per credit.</t>
  </si>
  <si>
    <t>The tuition rate for students who started in the fall of 2026 is $1,150 per credit.</t>
  </si>
  <si>
    <t>2026 Start</t>
  </si>
  <si>
    <t>FALL 2026:</t>
  </si>
  <si>
    <t>WINTER 2027:</t>
  </si>
  <si>
    <t>SPRING 2027:</t>
  </si>
  <si>
    <t>SUMMER 2027:</t>
  </si>
  <si>
    <t>FALL 2026</t>
  </si>
  <si>
    <t>WINTER 2027</t>
  </si>
  <si>
    <t>SPRING 2027</t>
  </si>
  <si>
    <t>SUMMER 2027</t>
  </si>
  <si>
    <t>2026-27 Estimated Billing Worksheet
Professional MBA Program</t>
  </si>
  <si>
    <t>2026-27 Estimated Billing Worksheet
Denver MBA Full-Time Program</t>
  </si>
  <si>
    <t>2026 Fall Quarter</t>
  </si>
  <si>
    <t>Technology fees are $8 per credit. If you will be enrolled in less than 4 credits, you will not be eligible for federal student loans.</t>
  </si>
  <si>
    <r>
      <t xml:space="preserve">The Health and Counseling Fee is $258 per quarter, and </t>
    </r>
    <r>
      <rPr>
        <i/>
        <sz val="11"/>
        <color theme="1"/>
        <rFont val="Calibri"/>
        <family val="2"/>
        <scheme val="minor"/>
      </rPr>
      <t>mandatory</t>
    </r>
    <r>
      <rPr>
        <sz val="11"/>
        <color theme="1"/>
        <rFont val="Calibri"/>
        <family val="2"/>
        <scheme val="minor"/>
      </rPr>
      <t xml:space="preserve"> for students who started their program in fall 2024 or later and are enrolled
in 8 or more credits. Students who started prior to fall 2024 can waive this fee (just delete the amount in these fields if you plan to waive it).</t>
    </r>
  </si>
  <si>
    <t>2026-27 Estimated Billing Worksheet
Executive MBA Program</t>
  </si>
  <si>
    <t>2026 Fall or 2027 Spring Quarter</t>
  </si>
  <si>
    <r>
      <t xml:space="preserve">The Health and Counseling Fee is $258 per quarter, and is </t>
    </r>
    <r>
      <rPr>
        <i/>
        <sz val="11"/>
        <color theme="1"/>
        <rFont val="Calibri"/>
        <family val="2"/>
        <scheme val="minor"/>
      </rPr>
      <t>mandatory</t>
    </r>
    <r>
      <rPr>
        <sz val="11"/>
        <color theme="1"/>
        <rFont val="Calibri"/>
        <family val="2"/>
        <scheme val="minor"/>
      </rPr>
      <t xml:space="preserve"> for students who start their program in fall 2024 or later and are enrolled in 8 or more credits. Students who started prior to fall 2024 can waive this fee (just delete the amount in these fields if you plan to waive it).</t>
    </r>
  </si>
  <si>
    <t>2026-27 Estimated Billing Worksheet
Executive PhD Program</t>
  </si>
  <si>
    <r>
      <rPr>
        <vertAlign val="superscript"/>
        <sz val="11"/>
        <color theme="1"/>
        <rFont val="Calibri"/>
        <family val="2"/>
        <scheme val="minor"/>
      </rPr>
      <t>3</t>
    </r>
    <r>
      <rPr>
        <sz val="11"/>
        <color theme="1"/>
        <rFont val="Calibri"/>
        <family val="2"/>
        <scheme val="minor"/>
      </rPr>
      <t xml:space="preserve">The Health and Counseling Fee is $258 per quarter, and is </t>
    </r>
    <r>
      <rPr>
        <i/>
        <sz val="11"/>
        <color theme="1"/>
        <rFont val="Calibri"/>
        <family val="2"/>
        <scheme val="minor"/>
      </rPr>
      <t>mandatory</t>
    </r>
    <r>
      <rPr>
        <sz val="11"/>
        <color theme="1"/>
        <rFont val="Calibri"/>
        <family val="2"/>
        <scheme val="minor"/>
      </rPr>
      <t xml:space="preserve"> for students who started an on-campus program in fall 2024 or later
   and are enrolled in 8 or more credits. Students in online programs are not charged this fee, and those who started prior to fall 2024 can waive it.
   (Just delete the amount in these fields if you plan to waive it or are enrolled in the online MBA program).</t>
    </r>
  </si>
  <si>
    <r>
      <rPr>
        <vertAlign val="superscript"/>
        <sz val="11"/>
        <color theme="1"/>
        <rFont val="Calibri"/>
        <family val="2"/>
        <scheme val="minor"/>
      </rPr>
      <t>2</t>
    </r>
    <r>
      <rPr>
        <sz val="11"/>
        <color theme="1"/>
        <rFont val="Calibri"/>
        <family val="2"/>
        <scheme val="minor"/>
      </rPr>
      <t>Technology fees are $8 per credit. If you will be enrolled in less than 4 credits, you will not be eligible for federal student loans.</t>
    </r>
  </si>
  <si>
    <t>2627 Tuition</t>
  </si>
  <si>
    <t>2526 Tuition</t>
  </si>
  <si>
    <r>
      <t>1</t>
    </r>
    <r>
      <rPr>
        <sz val="11"/>
        <color theme="1"/>
        <rFont val="Calibri"/>
        <family val="2"/>
        <scheme val="minor"/>
      </rPr>
      <t>Please choose a starting term for your cohort above.</t>
    </r>
  </si>
  <si>
    <t>2026-27 Estimated Billing Worksheet
Most Specialized Master's Programs</t>
  </si>
  <si>
    <t>Tuition for the 2026-2027 academic year is $1,550 per credit.</t>
  </si>
  <si>
    <r>
      <t xml:space="preserve">The Health and Counseling Fee is $258 per quarter, and is </t>
    </r>
    <r>
      <rPr>
        <i/>
        <sz val="11"/>
        <color theme="1"/>
        <rFont val="Calibri"/>
        <family val="2"/>
        <scheme val="minor"/>
      </rPr>
      <t>mandatory</t>
    </r>
    <r>
      <rPr>
        <sz val="11"/>
        <color theme="1"/>
        <rFont val="Calibri"/>
        <family val="2"/>
        <scheme val="minor"/>
      </rPr>
      <t xml:space="preserve"> for students who started their program in fall 2024 or later and are enrolled
in 8 or more credits. Students who started prior to fall 2024 can waive this fee (just delete the amount in these fields if you plan to waive it).</t>
    </r>
  </si>
  <si>
    <r>
      <t>Effective July 1, 2026, the Direct Graduate PLUS loan application process will be limited to existing borrowers who are eligible to apply under the legacy loan provision.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t>
    </r>
    <r>
      <rPr>
        <b/>
        <sz val="11"/>
        <color theme="1"/>
        <rFont val="Calibri"/>
        <family val="2"/>
        <scheme val="minor"/>
      </rPr>
      <t xml:space="preserve"> www.du.edu/federal-updates</t>
    </r>
    <r>
      <rPr>
        <sz val="11"/>
        <color theme="1"/>
        <rFont val="Calibri"/>
        <family val="2"/>
        <scheme val="minor"/>
      </rPr>
      <t xml:space="preserve">.  </t>
    </r>
  </si>
  <si>
    <r>
      <t xml:space="preserve">Effective July 1, 2026, the Direct Graduate PLUS loan application process will be limited to existing borrowers who are eligible to apply under the legacy loan provision.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 </t>
    </r>
    <r>
      <rPr>
        <b/>
        <sz val="11"/>
        <color theme="1"/>
        <rFont val="Calibri"/>
        <family val="2"/>
        <scheme val="minor"/>
      </rPr>
      <t>www.du.edu/federal-updates</t>
    </r>
    <r>
      <rPr>
        <sz val="11"/>
        <color theme="1"/>
        <rFont val="Calibri"/>
        <family val="2"/>
        <scheme val="minor"/>
      </rPr>
      <t xml:space="preserve">.  </t>
    </r>
  </si>
  <si>
    <r>
      <rPr>
        <vertAlign val="superscript"/>
        <sz val="11"/>
        <color theme="1"/>
        <rFont val="Calibri"/>
        <family val="2"/>
        <scheme val="minor"/>
      </rPr>
      <t>5</t>
    </r>
    <r>
      <rPr>
        <sz val="11"/>
        <color theme="1"/>
        <rFont val="Calibri"/>
        <family val="2"/>
        <scheme val="minor"/>
      </rPr>
      <t xml:space="preserve"> Effective July 1, 2026, the Direct Graduate PLUS loan application process will be limited to existing borrowers who are eligible to apply under the legacy loan provision.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t>
    </r>
    <r>
      <rPr>
        <b/>
        <sz val="11"/>
        <color theme="1"/>
        <rFont val="Calibri"/>
        <family val="2"/>
        <scheme val="minor"/>
      </rPr>
      <t xml:space="preserve"> www.du.edu/federal-updates</t>
    </r>
    <r>
      <rPr>
        <sz val="11"/>
        <color theme="1"/>
        <rFont val="Calibri"/>
        <family val="2"/>
        <scheme val="minor"/>
      </rPr>
      <t xml:space="preserve">.  </t>
    </r>
  </si>
  <si>
    <t>2026-27 Estimated Billing Worksheet
MBA@Denver Online Program</t>
  </si>
  <si>
    <r>
      <rPr>
        <vertAlign val="superscript"/>
        <sz val="11"/>
        <color theme="1"/>
        <rFont val="Calibri"/>
        <family val="2"/>
        <scheme val="minor"/>
      </rPr>
      <t>4</t>
    </r>
    <r>
      <rPr>
        <sz val="11"/>
        <color theme="1"/>
        <rFont val="Calibri"/>
        <family val="2"/>
        <scheme val="minor"/>
      </rPr>
      <t xml:space="preserve">Effective July 1, 2026, the Direct Graduate PLUS loan application process will be limited to existing borrowers who are eligible to apply under the legacy loan provision.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 </t>
    </r>
    <r>
      <rPr>
        <b/>
        <sz val="11"/>
        <color theme="1"/>
        <rFont val="Calibri"/>
        <family val="2"/>
        <scheme val="minor"/>
      </rPr>
      <t>www.du.edu/federal-updates</t>
    </r>
    <r>
      <rPr>
        <sz val="11"/>
        <color theme="1"/>
        <rFont val="Calibri"/>
        <family val="2"/>
        <scheme val="minor"/>
      </rPr>
      <t xml:space="preserve">.  </t>
    </r>
  </si>
  <si>
    <t>2026-27 Estimated Billing Worksheet
Daniels College of Business MS in Business Analytics Program</t>
  </si>
  <si>
    <r>
      <t>1</t>
    </r>
    <r>
      <rPr>
        <sz val="11"/>
        <color theme="1"/>
        <rFont val="Calibri"/>
        <family val="2"/>
        <scheme val="minor"/>
      </rPr>
      <t>Tuition for 2025-2026 academic year is $1,250 per credit.</t>
    </r>
  </si>
  <si>
    <r>
      <rPr>
        <vertAlign val="superscript"/>
        <sz val="11"/>
        <color theme="1"/>
        <rFont val="Calibri"/>
        <family val="2"/>
        <scheme val="minor"/>
      </rPr>
      <t>3</t>
    </r>
    <r>
      <rPr>
        <sz val="11"/>
        <color theme="1"/>
        <rFont val="Calibri"/>
        <family val="2"/>
        <scheme val="minor"/>
      </rPr>
      <t xml:space="preserve">The Health and Counseling Fee is $258 per quarter, and is </t>
    </r>
    <r>
      <rPr>
        <i/>
        <sz val="11"/>
        <color theme="1"/>
        <rFont val="Calibri"/>
        <family val="2"/>
        <scheme val="minor"/>
      </rPr>
      <t>mandatory</t>
    </r>
    <r>
      <rPr>
        <sz val="11"/>
        <color theme="1"/>
        <rFont val="Calibri"/>
        <family val="2"/>
        <scheme val="minor"/>
      </rPr>
      <t xml:space="preserve"> for students who started their program in fall 2024 or later and are
   enrolled in 8 or more credits. Students who started prior to fall 2024 can waive this fee (just delete the amount in these fields if you plan to waive it).</t>
    </r>
  </si>
  <si>
    <r>
      <rPr>
        <vertAlign val="superscript"/>
        <sz val="11"/>
        <color theme="1"/>
        <rFont val="Calibri"/>
        <family val="2"/>
        <scheme val="minor"/>
      </rPr>
      <t>5</t>
    </r>
    <r>
      <rPr>
        <sz val="11"/>
        <color theme="1"/>
        <rFont val="Calibri"/>
        <family val="2"/>
        <scheme val="minor"/>
      </rPr>
      <t xml:space="preserve">Effective July 1, 2026, the Direct Graduate PLUS loan application process will be limited to existing borrowers who are eligible to apply under the legacy loan provision.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 www.du.edu/federal-updates.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</si>
</sst>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0"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0"/>
      <color rgb="FF000000"/>
      <name val="Calibri"/>
      <family val="2"/>
      <scheme val="minor"/>
    </font>
    <font>
      <vertAlign val="superscript"/>
      <sz val="11"/>
      <color theme="1"/>
      <name val="Calibri"/>
      <family val="2"/>
      <scheme val="minor"/>
    </font>
    <font>
      <b/>
      <i/>
      <sz val="14"/>
      <color rgb="FF98002E"/>
      <name val="Calibri"/>
      <family val="2"/>
      <scheme val="minor"/>
    </font>
    <font>
      <b/>
      <sz val="14"/>
      <color theme="1"/>
      <name val="Calibri"/>
      <family val="2"/>
      <scheme val="minor"/>
    </font>
    <font>
      <u/>
      <sz val="11"/>
      <color rgb="FF98002E"/>
      <name val="Calibri"/>
      <family val="2"/>
      <scheme val="minor"/>
    </font>
    <font>
      <b/>
      <i/>
      <sz val="16"/>
      <color theme="1"/>
      <name val="Calibri"/>
      <family val="2"/>
      <scheme val="minor"/>
    </font>
    <font>
      <b/>
      <sz val="12"/>
      <color theme="1"/>
      <name val="Calibri"/>
      <family val="2"/>
      <scheme val="minor"/>
    </font>
    <font>
      <sz val="11"/>
      <color rgb="FF000000"/>
      <name val="Calibri"/>
      <family val="2"/>
      <scheme val="minor"/>
    </font>
    <font>
      <b/>
      <sz val="11"/>
      <color rgb="FF000000"/>
      <name val="Calibri"/>
      <family val="2"/>
      <scheme val="minor"/>
    </font>
    <font>
      <u/>
      <sz val="11"/>
      <color theme="10"/>
      <name val="Calibri"/>
      <family val="2"/>
      <scheme val="minor"/>
    </font>
    <font>
      <b/>
      <i/>
      <u/>
      <sz val="14"/>
      <color theme="1"/>
      <name val="Calibri"/>
      <family val="2"/>
      <scheme val="minor"/>
    </font>
    <font>
      <i/>
      <sz val="11"/>
      <color rgb="FF000000"/>
      <name val="Calibri"/>
      <family val="2"/>
      <scheme val="minor"/>
    </font>
    <font>
      <b/>
      <i/>
      <sz val="11"/>
      <color rgb="FF000000"/>
      <name val="Calibri"/>
      <family val="2"/>
      <scheme val="minor"/>
    </font>
    <font>
      <u/>
      <vertAlign val="superscript"/>
      <sz val="11"/>
      <color theme="10"/>
      <name val="Calibri"/>
      <family val="2"/>
      <scheme val="minor"/>
    </font>
    <font>
      <i/>
      <sz val="11"/>
      <color theme="1"/>
      <name val="Calibri"/>
      <family val="2"/>
      <scheme val="minor"/>
    </font>
    <font>
      <sz val="8"/>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4" tint="0.59996337778862885"/>
        <bgColor indexed="64"/>
      </patternFill>
    </fill>
    <fill>
      <patternFill patternType="solid">
        <fgColor rgb="FFFFFF00"/>
        <bgColor indexed="64"/>
      </patternFill>
    </fill>
  </fills>
  <borders count="16">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top style="double">
        <color auto="1"/>
      </top>
      <bottom style="double">
        <color auto="1"/>
      </bottom>
      <diagonal/>
    </border>
    <border>
      <left style="dashed">
        <color auto="1"/>
      </left>
      <right/>
      <top style="dashed">
        <color auto="1"/>
      </top>
      <bottom style="dashed">
        <color auto="1"/>
      </bottom>
      <diagonal/>
    </border>
    <border>
      <left/>
      <right/>
      <top style="dashed">
        <color auto="1"/>
      </top>
      <bottom style="dashed">
        <color auto="1"/>
      </bottom>
      <diagonal/>
    </border>
    <border>
      <left style="thin">
        <color indexed="64"/>
      </left>
      <right style="thin">
        <color indexed="64"/>
      </right>
      <top style="thin">
        <color indexed="64"/>
      </top>
      <bottom style="thin">
        <color indexed="64"/>
      </bottom>
      <diagonal/>
    </border>
    <border>
      <left/>
      <right style="dashed">
        <color indexed="64"/>
      </right>
      <top/>
      <bottom/>
      <diagonal/>
    </border>
    <border>
      <left style="dotted">
        <color indexed="64"/>
      </left>
      <right style="dotted">
        <color indexed="64"/>
      </right>
      <top style="dott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right style="dotted">
        <color auto="1"/>
      </right>
      <top style="dashed">
        <color auto="1"/>
      </top>
      <bottom style="dashed">
        <color auto="1"/>
      </bottom>
      <diagonal/>
    </border>
  </borders>
  <cellStyleXfs count="3">
    <xf numFmtId="0" fontId="0" fillId="0" borderId="0"/>
    <xf numFmtId="44" fontId="1" fillId="0" borderId="0" applyFont="0" applyFill="0" applyBorder="0" applyAlignment="0" applyProtection="0"/>
    <xf numFmtId="0" fontId="13" fillId="0" borderId="0" applyNumberFormat="0" applyFill="0" applyBorder="0" applyAlignment="0" applyProtection="0"/>
  </cellStyleXfs>
  <cellXfs count="89">
    <xf numFmtId="0" fontId="0" fillId="0" borderId="0" xfId="0"/>
    <xf numFmtId="0" fontId="2" fillId="0" borderId="2" xfId="0" applyFont="1" applyBorder="1"/>
    <xf numFmtId="0" fontId="0" fillId="0" borderId="2" xfId="0" applyBorder="1"/>
    <xf numFmtId="0" fontId="0" fillId="0" borderId="2" xfId="0" applyBorder="1" applyAlignment="1">
      <alignment horizontal="center"/>
    </xf>
    <xf numFmtId="44" fontId="2" fillId="0" borderId="2" xfId="1" applyFont="1" applyBorder="1" applyAlignment="1">
      <alignment horizontal="center"/>
    </xf>
    <xf numFmtId="44" fontId="0" fillId="0" borderId="0" xfId="1" applyFont="1"/>
    <xf numFmtId="0" fontId="6" fillId="0" borderId="0" xfId="0" applyFont="1" applyAlignment="1">
      <alignment horizontal="left"/>
    </xf>
    <xf numFmtId="0" fontId="0" fillId="0" borderId="3" xfId="0" applyBorder="1"/>
    <xf numFmtId="0" fontId="2" fillId="0" borderId="0" xfId="0" applyFont="1"/>
    <xf numFmtId="44" fontId="2" fillId="0" borderId="0" xfId="1" applyFont="1"/>
    <xf numFmtId="0" fontId="0" fillId="3" borderId="0" xfId="0" applyFill="1" applyAlignment="1">
      <alignment horizontal="left"/>
    </xf>
    <xf numFmtId="0" fontId="0" fillId="3" borderId="0" xfId="0" applyFill="1"/>
    <xf numFmtId="44" fontId="0" fillId="3" borderId="0" xfId="1" applyFont="1" applyFill="1"/>
    <xf numFmtId="0" fontId="0" fillId="3" borderId="0" xfId="0" applyFill="1" applyAlignment="1">
      <alignment horizontal="left" indent="2"/>
    </xf>
    <xf numFmtId="0" fontId="0" fillId="0" borderId="7" xfId="0" applyBorder="1"/>
    <xf numFmtId="0" fontId="7" fillId="0" borderId="7" xfId="0" applyFont="1" applyBorder="1"/>
    <xf numFmtId="44" fontId="0" fillId="2" borderId="6" xfId="1" applyFont="1" applyFill="1" applyBorder="1" applyProtection="1">
      <protection locked="0"/>
    </xf>
    <xf numFmtId="44" fontId="0" fillId="2" borderId="4" xfId="1" applyFont="1" applyFill="1" applyBorder="1" applyProtection="1">
      <protection locked="0"/>
    </xf>
    <xf numFmtId="44" fontId="0" fillId="2" borderId="4" xfId="0" applyNumberFormat="1" applyFill="1" applyBorder="1" applyProtection="1">
      <protection locked="0"/>
    </xf>
    <xf numFmtId="44" fontId="0" fillId="2" borderId="5" xfId="1" applyFont="1" applyFill="1" applyBorder="1" applyProtection="1">
      <protection locked="0"/>
    </xf>
    <xf numFmtId="0" fontId="0" fillId="0" borderId="1" xfId="0" applyBorder="1"/>
    <xf numFmtId="0" fontId="3" fillId="0" borderId="1" xfId="0" applyFont="1" applyBorder="1" applyAlignment="1">
      <alignment horizontal="right" vertical="top" wrapText="1"/>
    </xf>
    <xf numFmtId="0" fontId="3" fillId="0" borderId="1" xfId="0" applyFont="1" applyBorder="1" applyAlignment="1">
      <alignment horizontal="right" vertical="top"/>
    </xf>
    <xf numFmtId="0" fontId="4" fillId="0" borderId="0" xfId="0" applyFont="1" applyAlignment="1" applyProtection="1">
      <alignment horizontal="center" wrapText="1"/>
      <protection locked="0"/>
    </xf>
    <xf numFmtId="44" fontId="0" fillId="2" borderId="10" xfId="1" applyFont="1" applyFill="1" applyBorder="1" applyProtection="1">
      <protection locked="0"/>
    </xf>
    <xf numFmtId="44" fontId="10" fillId="0" borderId="7" xfId="1" applyFont="1" applyBorder="1"/>
    <xf numFmtId="0" fontId="10" fillId="0" borderId="7" xfId="0" applyFont="1" applyBorder="1"/>
    <xf numFmtId="0" fontId="0" fillId="3" borderId="3" xfId="0" applyFill="1" applyBorder="1"/>
    <xf numFmtId="44" fontId="0" fillId="3" borderId="3" xfId="1" applyFont="1" applyFill="1" applyBorder="1"/>
    <xf numFmtId="0" fontId="4" fillId="0" borderId="0" xfId="0" applyFont="1" applyAlignment="1">
      <alignment horizontal="left" wrapText="1" indent="1"/>
    </xf>
    <xf numFmtId="44" fontId="0" fillId="3" borderId="0" xfId="1" applyFont="1" applyFill="1" applyBorder="1"/>
    <xf numFmtId="0" fontId="0" fillId="2" borderId="4" xfId="0" applyFill="1" applyBorder="1" applyProtection="1">
      <protection locked="0"/>
    </xf>
    <xf numFmtId="44" fontId="0" fillId="0" borderId="3" xfId="1" applyFont="1" applyFill="1" applyBorder="1"/>
    <xf numFmtId="44" fontId="0" fillId="3" borderId="3" xfId="1" applyFont="1" applyFill="1" applyBorder="1" applyProtection="1">
      <protection locked="0"/>
    </xf>
    <xf numFmtId="44" fontId="0" fillId="0" borderId="0" xfId="1" applyFont="1" applyBorder="1"/>
    <xf numFmtId="0" fontId="0" fillId="0" borderId="0" xfId="0" applyAlignment="1">
      <alignment horizontal="left"/>
    </xf>
    <xf numFmtId="44" fontId="0" fillId="0" borderId="0" xfId="1" applyFont="1" applyFill="1" applyBorder="1"/>
    <xf numFmtId="44" fontId="0" fillId="3" borderId="0" xfId="0" applyNumberFormat="1" applyFill="1"/>
    <xf numFmtId="0" fontId="2" fillId="0" borderId="0" xfId="0" applyFont="1" applyAlignment="1">
      <alignment horizontal="right"/>
    </xf>
    <xf numFmtId="0" fontId="0" fillId="0" borderId="0" xfId="0" applyAlignment="1">
      <alignment horizontal="left" indent="2"/>
    </xf>
    <xf numFmtId="0" fontId="2" fillId="0" borderId="1" xfId="0" applyFont="1" applyBorder="1"/>
    <xf numFmtId="44" fontId="2" fillId="0" borderId="1" xfId="1" applyFont="1" applyBorder="1"/>
    <xf numFmtId="0" fontId="14" fillId="0" borderId="0" xfId="0" applyFont="1" applyAlignment="1">
      <alignment horizontal="left" vertical="top" indent="3"/>
    </xf>
    <xf numFmtId="0" fontId="13" fillId="0" borderId="0" xfId="2" applyAlignment="1" applyProtection="1">
      <alignment horizontal="left" indent="5"/>
      <protection locked="0"/>
    </xf>
    <xf numFmtId="0" fontId="0" fillId="0" borderId="0" xfId="0" applyProtection="1">
      <protection locked="0"/>
    </xf>
    <xf numFmtId="0" fontId="4" fillId="2" borderId="4" xfId="0" applyFont="1" applyFill="1" applyBorder="1" applyAlignment="1" applyProtection="1">
      <alignment wrapText="1"/>
      <protection locked="0"/>
    </xf>
    <xf numFmtId="44" fontId="2" fillId="0" borderId="0" xfId="1" applyFont="1" applyAlignment="1">
      <alignment horizontal="center"/>
    </xf>
    <xf numFmtId="0" fontId="11" fillId="0" borderId="0" xfId="0" applyFont="1" applyAlignment="1">
      <alignment horizontal="left" vertical="center" wrapText="1" indent="1"/>
    </xf>
    <xf numFmtId="0" fontId="5" fillId="0" borderId="0" xfId="0" applyFont="1" applyAlignment="1">
      <alignment horizontal="right" vertical="top"/>
    </xf>
    <xf numFmtId="0" fontId="5" fillId="0" borderId="0" xfId="0" applyFont="1" applyAlignment="1">
      <alignment horizontal="right"/>
    </xf>
    <xf numFmtId="0" fontId="0" fillId="0" borderId="0" xfId="0" applyAlignment="1">
      <alignment wrapText="1"/>
    </xf>
    <xf numFmtId="0" fontId="5" fillId="0" borderId="0" xfId="0" applyFont="1"/>
    <xf numFmtId="44" fontId="0" fillId="2" borderId="12" xfId="1" applyFont="1" applyFill="1" applyBorder="1" applyProtection="1">
      <protection locked="0"/>
    </xf>
    <xf numFmtId="0" fontId="15" fillId="0" borderId="0" xfId="0" applyFont="1" applyAlignment="1">
      <alignment horizontal="left" vertical="top" indent="1"/>
    </xf>
    <xf numFmtId="0" fontId="11" fillId="2" borderId="6" xfId="0" applyFont="1" applyFill="1" applyBorder="1" applyAlignment="1" applyProtection="1">
      <alignment horizontal="center" vertical="center"/>
      <protection locked="0"/>
    </xf>
    <xf numFmtId="44" fontId="0" fillId="2" borderId="6" xfId="1" applyFont="1"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44" fontId="2" fillId="0" borderId="13" xfId="1" applyFont="1" applyBorder="1" applyAlignment="1">
      <alignment horizontal="center"/>
    </xf>
    <xf numFmtId="0" fontId="3" fillId="0" borderId="0" xfId="0" applyFont="1" applyAlignment="1">
      <alignment horizontal="right" vertical="top" wrapText="1"/>
    </xf>
    <xf numFmtId="0" fontId="3" fillId="0" borderId="0" xfId="0" applyFont="1" applyAlignment="1">
      <alignment horizontal="right" vertical="top"/>
    </xf>
    <xf numFmtId="0" fontId="0" fillId="0" borderId="14" xfId="0" applyBorder="1"/>
    <xf numFmtId="0" fontId="5" fillId="0" borderId="0" xfId="0" applyFont="1" applyAlignment="1">
      <alignment vertical="top"/>
    </xf>
    <xf numFmtId="44" fontId="0" fillId="4" borderId="12" xfId="1" applyFont="1" applyFill="1" applyBorder="1" applyProtection="1">
      <protection locked="0"/>
    </xf>
    <xf numFmtId="44" fontId="0" fillId="4" borderId="12" xfId="0" applyNumberFormat="1" applyFill="1" applyBorder="1" applyProtection="1">
      <protection locked="0"/>
    </xf>
    <xf numFmtId="0" fontId="2" fillId="5" borderId="0" xfId="0" applyFont="1" applyFill="1"/>
    <xf numFmtId="0" fontId="0" fillId="5" borderId="0" xfId="0" applyFill="1"/>
    <xf numFmtId="0" fontId="2" fillId="5" borderId="0" xfId="0" applyFont="1" applyFill="1" applyAlignment="1">
      <alignment horizontal="right"/>
    </xf>
    <xf numFmtId="0" fontId="0" fillId="0" borderId="1" xfId="0" applyBorder="1" applyAlignment="1">
      <alignment horizontal="center"/>
    </xf>
    <xf numFmtId="0" fontId="3" fillId="0" borderId="3" xfId="0" applyFont="1" applyBorder="1" applyAlignment="1">
      <alignment horizontal="right" wrapText="1"/>
    </xf>
    <xf numFmtId="0" fontId="3" fillId="0" borderId="3" xfId="0" applyFont="1" applyBorder="1" applyAlignment="1">
      <alignment horizontal="right"/>
    </xf>
    <xf numFmtId="0" fontId="11" fillId="0" borderId="0" xfId="0" applyFont="1" applyAlignment="1">
      <alignment horizontal="left" vertical="center" wrapText="1"/>
    </xf>
    <xf numFmtId="0" fontId="0" fillId="0" borderId="0" xfId="0" applyAlignment="1">
      <alignment horizontal="left"/>
    </xf>
    <xf numFmtId="0" fontId="0" fillId="0" borderId="0" xfId="0" applyAlignment="1">
      <alignment horizontal="left" wrapText="1"/>
    </xf>
    <xf numFmtId="0" fontId="3" fillId="0" borderId="3" xfId="0" applyFont="1" applyBorder="1" applyAlignment="1">
      <alignment horizontal="right" vertical="top" wrapText="1"/>
    </xf>
    <xf numFmtId="0" fontId="5" fillId="0" borderId="0" xfId="0" applyFont="1" applyAlignment="1">
      <alignment horizontal="left" wrapText="1"/>
    </xf>
    <xf numFmtId="0" fontId="11" fillId="0" borderId="0" xfId="0" applyFont="1" applyAlignment="1">
      <alignment horizontal="left" vertical="center" wrapText="1" indent="1"/>
    </xf>
    <xf numFmtId="0" fontId="0" fillId="3" borderId="0" xfId="0" applyFill="1" applyAlignment="1">
      <alignment horizontal="center"/>
    </xf>
    <xf numFmtId="0" fontId="0" fillId="3" borderId="3" xfId="0" applyFill="1" applyBorder="1" applyAlignment="1">
      <alignment horizontal="left"/>
    </xf>
    <xf numFmtId="0" fontId="13" fillId="3" borderId="0" xfId="2" applyFill="1" applyBorder="1" applyAlignment="1">
      <alignment horizontal="left"/>
    </xf>
    <xf numFmtId="0" fontId="13" fillId="3" borderId="11" xfId="2" applyFill="1" applyBorder="1" applyAlignment="1">
      <alignment horizontal="left"/>
    </xf>
    <xf numFmtId="0" fontId="13" fillId="0" borderId="3" xfId="2" applyFill="1" applyBorder="1" applyAlignment="1">
      <alignment horizontal="left"/>
    </xf>
    <xf numFmtId="0" fontId="3" fillId="0" borderId="0" xfId="0" applyFont="1" applyAlignment="1">
      <alignment horizontal="right" vertical="top" wrapText="1"/>
    </xf>
    <xf numFmtId="0" fontId="3" fillId="0" borderId="0" xfId="0" applyFont="1" applyAlignment="1">
      <alignment horizontal="right" vertical="top"/>
    </xf>
    <xf numFmtId="0" fontId="4" fillId="2" borderId="8" xfId="0" applyFont="1" applyFill="1" applyBorder="1" applyAlignment="1" applyProtection="1">
      <alignment horizontal="left" wrapText="1"/>
      <protection locked="0"/>
    </xf>
    <xf numFmtId="0" fontId="4" fillId="2" borderId="9" xfId="0" applyFont="1" applyFill="1" applyBorder="1" applyAlignment="1" applyProtection="1">
      <alignment horizontal="left" wrapText="1"/>
      <protection locked="0"/>
    </xf>
    <xf numFmtId="0" fontId="4" fillId="2" borderId="15" xfId="0" applyFont="1" applyFill="1" applyBorder="1" applyAlignment="1" applyProtection="1">
      <alignment horizontal="left" wrapText="1"/>
      <protection locked="0"/>
    </xf>
    <xf numFmtId="0" fontId="4" fillId="2" borderId="8" xfId="0" applyFont="1" applyFill="1" applyBorder="1" applyAlignment="1" applyProtection="1">
      <alignment horizontal="center" wrapText="1"/>
      <protection locked="0"/>
    </xf>
    <xf numFmtId="0" fontId="4" fillId="2" borderId="9" xfId="0" applyFont="1" applyFill="1" applyBorder="1" applyAlignment="1" applyProtection="1">
      <alignment horizontal="center" wrapText="1"/>
      <protection locked="0"/>
    </xf>
    <xf numFmtId="0" fontId="4" fillId="2" borderId="15" xfId="0" applyFont="1" applyFill="1" applyBorder="1" applyAlignment="1" applyProtection="1">
      <alignment horizontal="center" wrapText="1"/>
      <protection locked="0"/>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98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104760</xdr:rowOff>
    </xdr:from>
    <xdr:to>
      <xdr:col>1</xdr:col>
      <xdr:colOff>1850247</xdr:colOff>
      <xdr:row>1</xdr:row>
      <xdr:rowOff>533400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850247" cy="4286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276224</xdr:colOff>
      <xdr:row>1</xdr:row>
      <xdr:rowOff>108070</xdr:rowOff>
    </xdr:from>
    <xdr:to>
      <xdr:col>3</xdr:col>
      <xdr:colOff>695974</xdr:colOff>
      <xdr:row>1</xdr:row>
      <xdr:rowOff>542925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4" y="327145"/>
          <a:ext cx="1877075" cy="4348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1</xdr:colOff>
      <xdr:row>1</xdr:row>
      <xdr:rowOff>104760</xdr:rowOff>
    </xdr:from>
    <xdr:ext cx="1828800" cy="423672"/>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6" y="323835"/>
          <a:ext cx="1828800" cy="423672"/>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276224</xdr:colOff>
      <xdr:row>1</xdr:row>
      <xdr:rowOff>108070</xdr:rowOff>
    </xdr:from>
    <xdr:to>
      <xdr:col>3</xdr:col>
      <xdr:colOff>695974</xdr:colOff>
      <xdr:row>1</xdr:row>
      <xdr:rowOff>542925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4" y="327145"/>
          <a:ext cx="1877075" cy="43485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108070</xdr:rowOff>
    </xdr:from>
    <xdr:to>
      <xdr:col>3</xdr:col>
      <xdr:colOff>778206</xdr:colOff>
      <xdr:row>1</xdr:row>
      <xdr:rowOff>561975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7145"/>
          <a:ext cx="1959306" cy="45390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108070</xdr:rowOff>
    </xdr:from>
    <xdr:to>
      <xdr:col>3</xdr:col>
      <xdr:colOff>778206</xdr:colOff>
      <xdr:row>1</xdr:row>
      <xdr:rowOff>561975</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7145"/>
          <a:ext cx="1959306" cy="45390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276224</xdr:colOff>
      <xdr:row>1</xdr:row>
      <xdr:rowOff>108070</xdr:rowOff>
    </xdr:from>
    <xdr:to>
      <xdr:col>3</xdr:col>
      <xdr:colOff>737090</xdr:colOff>
      <xdr:row>1</xdr:row>
      <xdr:rowOff>552450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4" y="327145"/>
          <a:ext cx="1918191" cy="44438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276224</xdr:colOff>
      <xdr:row>1</xdr:row>
      <xdr:rowOff>108070</xdr:rowOff>
    </xdr:from>
    <xdr:to>
      <xdr:col>3</xdr:col>
      <xdr:colOff>695974</xdr:colOff>
      <xdr:row>1</xdr:row>
      <xdr:rowOff>542925</xdr:rowOff>
    </xdr:to>
    <xdr:pic>
      <xdr:nvPicPr>
        <xdr:cNvPr id="2" name="Picture 1">
          <a:extLst>
            <a:ext uri="{FF2B5EF4-FFF2-40B4-BE49-F238E27FC236}">
              <a16:creationId xmlns:a16="http://schemas.microsoft.com/office/drawing/2014/main" id="{911135CF-A4F2-4656-BCF1-1D542B4951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4" y="321430"/>
          <a:ext cx="1920890" cy="4348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7"/>
  <sheetViews>
    <sheetView showGridLines="0" showRowColHeaders="0" tabSelected="1" showRuler="0" zoomScaleNormal="100" workbookViewId="0">
      <selection activeCell="B7" sqref="B7"/>
    </sheetView>
  </sheetViews>
  <sheetFormatPr defaultColWidth="8.85546875" defaultRowHeight="15" x14ac:dyDescent="0.25"/>
  <cols>
    <col min="1" max="1" width="4.140625" customWidth="1"/>
    <col min="2" max="2" width="74.85546875" customWidth="1"/>
    <col min="3" max="3" width="12.85546875" style="5" customWidth="1"/>
    <col min="4" max="4" width="26.42578125" customWidth="1"/>
  </cols>
  <sheetData>
    <row r="1" spans="1:4" ht="17.25" customHeight="1" x14ac:dyDescent="0.25">
      <c r="A1" s="44"/>
    </row>
    <row r="2" spans="1:4" ht="47.25" customHeight="1" x14ac:dyDescent="0.35">
      <c r="B2" s="68" t="s">
        <v>85</v>
      </c>
      <c r="C2" s="69"/>
      <c r="D2" s="69"/>
    </row>
    <row r="3" spans="1:4" ht="8.25" customHeight="1" x14ac:dyDescent="0.25">
      <c r="B3" s="20"/>
      <c r="C3" s="22"/>
      <c r="D3" s="22"/>
    </row>
    <row r="4" spans="1:4" ht="66.75" customHeight="1" x14ac:dyDescent="0.25">
      <c r="B4" s="70" t="s">
        <v>86</v>
      </c>
      <c r="C4" s="70"/>
      <c r="D4" s="70"/>
    </row>
    <row r="5" spans="1:4" ht="21.75" customHeight="1" x14ac:dyDescent="0.25">
      <c r="C5"/>
    </row>
    <row r="6" spans="1:4" ht="27" customHeight="1" x14ac:dyDescent="0.25">
      <c r="B6" s="42" t="s">
        <v>61</v>
      </c>
      <c r="C6"/>
    </row>
    <row r="7" spans="1:4" x14ac:dyDescent="0.25">
      <c r="B7" s="43" t="s">
        <v>54</v>
      </c>
    </row>
    <row r="8" spans="1:4" x14ac:dyDescent="0.25">
      <c r="B8" s="43" t="s">
        <v>55</v>
      </c>
    </row>
    <row r="9" spans="1:4" x14ac:dyDescent="0.25">
      <c r="B9" s="43" t="s">
        <v>48</v>
      </c>
    </row>
    <row r="10" spans="1:4" x14ac:dyDescent="0.25">
      <c r="B10" s="43" t="s">
        <v>49</v>
      </c>
    </row>
    <row r="11" spans="1:4" x14ac:dyDescent="0.25">
      <c r="B11" s="43" t="s">
        <v>60</v>
      </c>
    </row>
    <row r="12" spans="1:4" x14ac:dyDescent="0.25">
      <c r="B12" s="43" t="s">
        <v>50</v>
      </c>
    </row>
    <row r="13" spans="1:4" x14ac:dyDescent="0.25">
      <c r="B13" s="43" t="s">
        <v>51</v>
      </c>
    </row>
    <row r="17" spans="2:4" x14ac:dyDescent="0.25">
      <c r="B17" s="67" t="s">
        <v>14</v>
      </c>
      <c r="C17" s="67"/>
      <c r="D17" s="67"/>
    </row>
  </sheetData>
  <sheetProtection algorithmName="SHA-512" hashValue="7THqio0mij8cS2v8PLeCfIVROTz65EnSdiaioTYke+F4pw98I65a5GgWMK7/Fwq4Mmg39cU1ZsHNQf5Q0efkRw==" saltValue="eb2ouVuUvbR1MjQtpon7Ag==" spinCount="100000" sheet="1" selectLockedCells="1"/>
  <mergeCells count="3">
    <mergeCell ref="B17:D17"/>
    <mergeCell ref="B2:D2"/>
    <mergeCell ref="B4:D4"/>
  </mergeCells>
  <hyperlinks>
    <hyperlink ref="B8" location="'Master''s'!A1" display="All Other Specialized Master's Programs" xr:uid="{00000000-0004-0000-0000-000000000000}"/>
    <hyperlink ref="B9" location="'Denver MBA'!A1" display="Denver MBA Full-Time Program" xr:uid="{00000000-0004-0000-0000-000001000000}"/>
    <hyperlink ref="B10" location="PMBA!A1" display="Professional MBA Program" xr:uid="{00000000-0004-0000-0000-000002000000}"/>
    <hyperlink ref="B11" location="EMBA!A1" display="Executive MBA Program" xr:uid="{00000000-0004-0000-0000-000003000000}"/>
    <hyperlink ref="B12" location="'MBA@Denver'!A1" display="MBA@ Denver Online Program" xr:uid="{00000000-0004-0000-0000-000004000000}"/>
    <hyperlink ref="B13" location="'Executive PhD'!A1" display="Executive PhD Program" xr:uid="{00000000-0004-0000-0000-000005000000}"/>
    <hyperlink ref="B7" location="BA!A1" display="Master's in Business Analytics Program" xr:uid="{00000000-0004-0000-0000-000006000000}"/>
  </hyperlinks>
  <pageMargins left="0.5" right="0.5" top="0.5" bottom="0.5" header="0.3" footer="0.3"/>
  <pageSetup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37"/>
  <sheetViews>
    <sheetView showGridLines="0" showRowColHeaders="0" showRuler="0" zoomScaleNormal="100" workbookViewId="0">
      <selection activeCell="E14" sqref="E14"/>
    </sheetView>
  </sheetViews>
  <sheetFormatPr defaultColWidth="8.85546875" defaultRowHeight="15" x14ac:dyDescent="0.25"/>
  <cols>
    <col min="1" max="1" width="4.140625" customWidth="1"/>
    <col min="4" max="4" width="26.140625" customWidth="1"/>
    <col min="5" max="5" width="11.42578125" bestFit="1" customWidth="1"/>
    <col min="7" max="7" width="13.140625" style="5" customWidth="1"/>
    <col min="8" max="8" width="4.7109375" customWidth="1"/>
    <col min="9" max="9" width="13.42578125" style="5" customWidth="1"/>
    <col min="10" max="10" width="4.7109375" customWidth="1"/>
    <col min="11" max="11" width="13.42578125" style="5" customWidth="1"/>
    <col min="12" max="12" width="4.7109375" style="5" customWidth="1"/>
    <col min="13" max="13" width="13.42578125" style="5" customWidth="1"/>
    <col min="14" max="14" width="3.42578125" customWidth="1"/>
  </cols>
  <sheetData>
    <row r="1" spans="2:14" ht="17.25" customHeight="1" x14ac:dyDescent="0.25"/>
    <row r="2" spans="2:14" ht="47.25" customHeight="1" x14ac:dyDescent="0.25">
      <c r="F2" s="73" t="s">
        <v>121</v>
      </c>
      <c r="G2" s="73"/>
      <c r="H2" s="73"/>
      <c r="I2" s="73"/>
      <c r="J2" s="73"/>
      <c r="K2" s="73"/>
      <c r="L2" s="73"/>
      <c r="M2" s="73"/>
      <c r="N2" s="73"/>
    </row>
    <row r="3" spans="2:14" ht="8.25" customHeight="1" x14ac:dyDescent="0.25">
      <c r="B3" s="20"/>
      <c r="C3" s="20"/>
      <c r="D3" s="20"/>
      <c r="E3" s="20"/>
      <c r="F3" s="20"/>
      <c r="G3" s="21"/>
      <c r="H3" s="22"/>
      <c r="I3" s="22"/>
      <c r="J3" s="22"/>
      <c r="K3" s="22"/>
      <c r="L3" s="22"/>
      <c r="M3" s="22"/>
      <c r="N3" s="22"/>
    </row>
    <row r="4" spans="2:14" ht="12" customHeight="1" x14ac:dyDescent="0.25">
      <c r="B4" s="75"/>
      <c r="C4" s="75"/>
      <c r="D4" s="75"/>
      <c r="E4" s="75"/>
      <c r="F4" s="75"/>
      <c r="G4" s="75"/>
      <c r="H4" s="75"/>
      <c r="I4" s="75"/>
      <c r="J4" s="75"/>
      <c r="K4" s="75"/>
      <c r="L4" s="75"/>
      <c r="M4" s="75"/>
      <c r="N4" s="75"/>
    </row>
    <row r="5" spans="2:14" ht="19.5" customHeight="1" x14ac:dyDescent="0.25">
      <c r="I5" s="46" t="s">
        <v>91</v>
      </c>
      <c r="K5" s="46" t="s">
        <v>92</v>
      </c>
      <c r="M5" s="46" t="s">
        <v>93</v>
      </c>
    </row>
    <row r="6" spans="2:14" ht="18" customHeight="1" x14ac:dyDescent="0.3">
      <c r="C6" s="6" t="s">
        <v>15</v>
      </c>
      <c r="D6" s="29"/>
      <c r="E6" s="29"/>
      <c r="F6" s="29"/>
      <c r="G6" s="29"/>
      <c r="H6" s="29"/>
      <c r="I6" s="45" t="s">
        <v>63</v>
      </c>
      <c r="K6" s="45" t="s">
        <v>63</v>
      </c>
      <c r="L6" s="23"/>
      <c r="M6" s="45" t="s">
        <v>63</v>
      </c>
      <c r="N6" s="29"/>
    </row>
    <row r="7" spans="2:14" ht="6" customHeight="1" x14ac:dyDescent="0.25"/>
    <row r="8" spans="2:14" ht="15.75" thickBot="1" x14ac:dyDescent="0.3">
      <c r="B8" s="1" t="s">
        <v>7</v>
      </c>
      <c r="C8" s="2"/>
      <c r="D8" s="2"/>
      <c r="E8" s="2"/>
      <c r="F8" s="2"/>
      <c r="G8" s="4" t="s">
        <v>3</v>
      </c>
      <c r="H8" s="3"/>
      <c r="I8" s="4" t="s">
        <v>95</v>
      </c>
      <c r="J8" s="3"/>
      <c r="K8" s="4" t="s">
        <v>96</v>
      </c>
      <c r="L8" s="4"/>
      <c r="M8" s="4" t="s">
        <v>97</v>
      </c>
      <c r="N8" s="2"/>
    </row>
    <row r="9" spans="2:14" ht="9" customHeight="1" x14ac:dyDescent="0.25"/>
    <row r="10" spans="2:14" ht="21.75" customHeight="1" x14ac:dyDescent="0.25">
      <c r="B10" s="10" t="s">
        <v>1</v>
      </c>
      <c r="C10" s="76"/>
      <c r="D10" s="76"/>
      <c r="E10" s="11"/>
      <c r="F10" s="11"/>
      <c r="G10" s="12">
        <f>I10+K10+M10</f>
        <v>0</v>
      </c>
      <c r="H10" s="11"/>
      <c r="I10" s="12">
        <f>VLOOKUP(I6,Data1!A2:B22, 2, FALSE)</f>
        <v>0</v>
      </c>
      <c r="J10" s="11"/>
      <c r="K10" s="12">
        <f>VLOOKUP(K6,Data1!A2:B22, 2, FALSE)</f>
        <v>0</v>
      </c>
      <c r="L10" s="12"/>
      <c r="M10" s="12">
        <f>VLOOKUP(M6,Data1!A2:B22, 2, FALSE)</f>
        <v>0</v>
      </c>
      <c r="N10" s="11"/>
    </row>
    <row r="11" spans="2:14" ht="21.75" customHeight="1" x14ac:dyDescent="0.25">
      <c r="B11" s="35" t="s">
        <v>0</v>
      </c>
    </row>
    <row r="12" spans="2:14" ht="21.75" customHeight="1" x14ac:dyDescent="0.25">
      <c r="B12" s="13" t="s">
        <v>2</v>
      </c>
      <c r="C12" s="11"/>
      <c r="D12" s="11"/>
      <c r="E12" s="11"/>
      <c r="F12" s="11"/>
      <c r="G12" s="12">
        <f>I12+K12+M12</f>
        <v>0</v>
      </c>
      <c r="H12" s="11"/>
      <c r="I12" s="12">
        <f>VLOOKUP(I6,Data1!A2:C22, 3, FALSE)</f>
        <v>0</v>
      </c>
      <c r="J12" s="11"/>
      <c r="K12" s="12">
        <f>VLOOKUP(K6, Data1!A2:C22, 3, FALSE)</f>
        <v>0</v>
      </c>
      <c r="L12" s="12"/>
      <c r="M12" s="12">
        <f>VLOOKUP(M6, Data1!A2:C22, 3, FALSE)</f>
        <v>0</v>
      </c>
      <c r="N12" s="11"/>
    </row>
    <row r="13" spans="2:14" ht="21.75" customHeight="1" x14ac:dyDescent="0.25">
      <c r="B13" s="39" t="s">
        <v>17</v>
      </c>
      <c r="G13" s="5">
        <f>I13+K13+M13</f>
        <v>0</v>
      </c>
      <c r="I13" s="5">
        <f>VLOOKUP(I6,Data1!A2:D22, 4, FALSE)</f>
        <v>0</v>
      </c>
      <c r="K13" s="5">
        <f>VLOOKUP(K6, Data1!A2:D22, 4, FALSE)</f>
        <v>0</v>
      </c>
      <c r="M13" s="5">
        <f>VLOOKUP(M6, Data1!A2:D22, 4, FALSE)</f>
        <v>0</v>
      </c>
    </row>
    <row r="14" spans="2:14" ht="21.75" customHeight="1" x14ac:dyDescent="0.25">
      <c r="B14" s="78" t="s">
        <v>56</v>
      </c>
      <c r="C14" s="78"/>
      <c r="D14" s="79"/>
      <c r="E14" s="31" t="s">
        <v>5</v>
      </c>
      <c r="F14" s="11"/>
      <c r="G14" s="30">
        <f>I14+K14+M14</f>
        <v>0</v>
      </c>
      <c r="H14" s="11"/>
      <c r="I14" s="30">
        <f>IF(AND(E14="Yes", I6&lt;&gt;"not enrolled"), (VLOOKUP(E14,Data1!A25:C26, 2, FALSE)), 0)</f>
        <v>0</v>
      </c>
      <c r="J14" s="11"/>
      <c r="K14" s="30">
        <v>0</v>
      </c>
      <c r="L14" s="30"/>
      <c r="M14" s="30">
        <f>IF(AND(E14="Yes", M6&lt;&gt;"not enrolled"), (VLOOKUP(E14,Data1!A25:C26, 2, FALSE)), 0)</f>
        <v>0</v>
      </c>
      <c r="N14" s="11"/>
    </row>
    <row r="15" spans="2:14" ht="21.75" customHeight="1" x14ac:dyDescent="0.25">
      <c r="B15" s="80" t="s">
        <v>64</v>
      </c>
      <c r="C15" s="80"/>
      <c r="D15" s="80"/>
      <c r="E15" s="60"/>
      <c r="F15" s="7"/>
      <c r="G15" s="32">
        <f>I15+K15+M15</f>
        <v>0</v>
      </c>
      <c r="H15" s="7"/>
      <c r="I15" s="52">
        <f>IF(AND(I6&lt;&gt;"select", I6&lt;&gt;"not enrolled",I6&lt;&gt;"4 credits",I6&lt;&gt;"5 credits",I6&lt;&gt;"6 credits",I6&lt;&gt;"7 credits"), 258, 0)</f>
        <v>0</v>
      </c>
      <c r="J15" s="7"/>
      <c r="K15" s="52">
        <f>IF(AND(K6&lt;&gt;"select", K6&lt;&gt;"not enrolled",K6&lt;&gt;"4 credits",K6&lt;&gt;"5 credits",K6&lt;&gt;"6 credits",K6&lt;&gt;"7 credits"), 258, 0)</f>
        <v>0</v>
      </c>
      <c r="L15" s="32"/>
      <c r="M15" s="52">
        <f>IF(AND(M6&lt;&gt;"select", M6&lt;&gt;"not enrolled",M6&lt;&gt;"4 credits",M6&lt;&gt;"5 credits",M6&lt;&gt;"6 credits",M6&lt;&gt;"7 credits"), 258, 0)</f>
        <v>0</v>
      </c>
      <c r="N15" s="7"/>
    </row>
    <row r="16" spans="2:14" ht="21.75" customHeight="1" x14ac:dyDescent="0.25">
      <c r="C16" s="8" t="s">
        <v>6</v>
      </c>
      <c r="G16" s="9">
        <f>SUM(G10, G12:G15)</f>
        <v>0</v>
      </c>
      <c r="I16" s="9">
        <f>SUM(I10,I12:I15)</f>
        <v>0</v>
      </c>
      <c r="K16" s="9">
        <f>SUM(K10,K12:K15)</f>
        <v>0</v>
      </c>
      <c r="L16" s="9"/>
      <c r="M16" s="9">
        <f>SUM(M10,M12:M15)</f>
        <v>0</v>
      </c>
    </row>
    <row r="17" spans="2:15" ht="24" customHeight="1" x14ac:dyDescent="0.25"/>
    <row r="18" spans="2:15" ht="15.75" thickBot="1" x14ac:dyDescent="0.3">
      <c r="B18" s="1" t="s">
        <v>11</v>
      </c>
      <c r="C18" s="2"/>
      <c r="D18" s="2"/>
      <c r="E18" s="2"/>
      <c r="F18" s="2"/>
      <c r="G18" s="4" t="s">
        <v>3</v>
      </c>
      <c r="H18" s="3"/>
      <c r="I18" s="4" t="s">
        <v>95</v>
      </c>
      <c r="J18" s="3"/>
      <c r="K18" s="4" t="s">
        <v>96</v>
      </c>
      <c r="L18" s="4"/>
      <c r="M18" s="4" t="s">
        <v>97</v>
      </c>
      <c r="N18" s="2"/>
    </row>
    <row r="19" spans="2:15" ht="21.75" customHeight="1" x14ac:dyDescent="0.25">
      <c r="B19" t="s">
        <v>16</v>
      </c>
      <c r="G19" s="16"/>
      <c r="I19" s="5">
        <f>IF((AND(I6&lt;&gt;"not enrolled", K6&lt;&gt;"not enrolled", M6&lt;&gt;"not enrolled")), (G19/3), IF((AND(I6&lt;&gt;"not enrolled", K6&lt;&gt;"not enrolled", M6="not enrolled")), (G19/2), IF((AND(I6&lt;&gt;"not enrolled", K6="not enrolled", M6="not enrolled")), (G19/1), 0)))</f>
        <v>0</v>
      </c>
      <c r="K19" s="5">
        <f>IF((AND(I6&lt;&gt;"not enrolled", K6&lt;&gt;"not enrolled", M6&lt;&gt;"not enrolled")), (G19/3), IF((AND(I6&lt;&gt;"not enrolled", K6&lt;&gt;"not enrolled", M6="not enrolled")), (G19/2), IF((AND(I6="not enrolled", K6&lt;&gt;"not enrolled", M6&lt;&gt;"not enrolled")), (G19/2), 0)))</f>
        <v>0</v>
      </c>
      <c r="M19" s="5">
        <f>IF((AND(I6&lt;&gt;"not enrolled", K6&lt;&gt;"not enrolled", M6&lt;&gt;"not enrolled")), (G19/3), IF((AND(I6="not enrolled", K6&lt;&gt;"not enrolled", M6&lt;&gt;"not enrolled")), (G19/2), IF((AND(I6="not enrolled", K6="not enrolled", M6&lt;&gt;"not enrolled")), (G19), 0)))</f>
        <v>0</v>
      </c>
    </row>
    <row r="20" spans="2:15" ht="21.75" customHeight="1" x14ac:dyDescent="0.25">
      <c r="B20" s="11" t="s">
        <v>8</v>
      </c>
      <c r="C20" s="11"/>
      <c r="D20" s="11"/>
      <c r="E20" s="11"/>
      <c r="F20" s="11"/>
      <c r="G20" s="17"/>
      <c r="H20" s="11"/>
      <c r="I20" s="12">
        <f>IF((AND(I6&lt;&gt;"not enrolled", K6&lt;&gt;"not enrolled", M6&lt;&gt;"not enrolled")), (G20/3), IF((AND(I6&lt;&gt;"not enrolled", K6&lt;&gt;"not enrolled", M6="not enrolled")), (G20/2), IF((AND(I6&lt;&gt;"not enrolled", K6="not enrolled", M6="not enrolled")), (G20/1), 0)))</f>
        <v>0</v>
      </c>
      <c r="J20" s="11"/>
      <c r="K20" s="12">
        <f>IF((AND(I6&lt;&gt;"not enrolled", K6&lt;&gt;"not enrolled", M6&lt;&gt;"not enrolled")), (G20/3), IF((AND(I6&lt;&gt;"not enrolled", K6&lt;&gt;"not enrolled", M6="not enrolled")), (G20/2), IF((AND(I6="not enrolled", K6&lt;&gt;"not enrolled", M6&lt;&gt;"not enrolled")), (G20/2), 0)))</f>
        <v>0</v>
      </c>
      <c r="L20" s="12"/>
      <c r="M20" s="12">
        <f>IF((AND(I6&lt;&gt;"not enrolled", K6&lt;&gt;"not enrolled", M6&lt;&gt;"not enrolled")), (G20/3), IF((AND(I6="not enrolled", K6&lt;&gt;"not enrolled", M6&lt;&gt;"not enrolled")), (G20/2), IF((AND(I6="not enrolled", K6="not enrolled", M6&lt;&gt;"not enrolled")), (G20), 0)))</f>
        <v>0</v>
      </c>
      <c r="N20" s="11"/>
    </row>
    <row r="21" spans="2:15" ht="21.75" customHeight="1" x14ac:dyDescent="0.25">
      <c r="B21" t="s">
        <v>65</v>
      </c>
      <c r="E21" s="18"/>
      <c r="G21" s="5">
        <f>SUM(I21,K21,M21)</f>
        <v>0</v>
      </c>
      <c r="I21" s="5">
        <f>IF((AND(I6&lt;&gt;"not enrolled", K6&lt;&gt;"not enrolled", M6&lt;&gt;"not enrolled")), ROUND(((E21-(E21*0.01057))/3),0), IF((AND(I6&lt;&gt;"not enrolled", K6&lt;&gt;"not enrolled", M6="not enrolled")), ROUND(((E21-(E21*0.01057))/2),0), IF((AND(I6&lt;&gt;"not enrolled", K6="not enrolled", M6="not enrolled")), ROUND(((E21-(E21*0.01057))/1),0), 0)))</f>
        <v>0</v>
      </c>
      <c r="K21" s="5">
        <f>IF((AND(I6&lt;&gt;"not enrolled", K6&lt;&gt;"not enrolled", M6&lt;&gt;"not enrolled")), ROUND(((E21-(E21*0.01057))/3),0), IF((AND(I6&lt;&gt;"not enrolled", K6&lt;&gt;"not enrolled", M6="not enrolled")), ROUND(((E21-(E21*0.01057))/2),0), IF((AND(I6="not enrolled", K6&lt;&gt;"not enrolled", M6&lt;&gt;"not enrolled")), ROUND(((E21-(E21*0.01057))/2),0), 0)))</f>
        <v>0</v>
      </c>
      <c r="M21" s="5">
        <f>IF((AND(I6&lt;&gt;"not enrolled", K6&lt;&gt;"not enrolled", M6&lt;&gt;"not enrolled")), ROUND(((E21-(E21*0.01057))/3),0), IF((AND(I6="not enrolled", K6&lt;&gt;"not enrolled", M6&lt;&gt;"not enrolled")), ROUND(((E21-(E21*0.01057))/2),0), IF((AND(I6="not enrolled", K6="not enrolled", M6&lt;&gt;"not enrolled")), ROUND(((E21-(E21*0.01057))/1),0), 0)))</f>
        <v>0</v>
      </c>
    </row>
    <row r="22" spans="2:15" ht="21.75" customHeight="1" x14ac:dyDescent="0.25">
      <c r="B22" s="11" t="s">
        <v>66</v>
      </c>
      <c r="C22" s="11"/>
      <c r="D22" s="11"/>
      <c r="E22" s="18"/>
      <c r="F22" s="11"/>
      <c r="G22" s="12">
        <f>SUM(I22,K22,M22)</f>
        <v>0</v>
      </c>
      <c r="H22" s="11"/>
      <c r="I22" s="12">
        <f>IF((AND(I6&lt;&gt;"not enrolled", K6&lt;&gt;"not enrolled", M6&lt;&gt;"not enrolled")), ROUND(((E22-(E22*0.04228))/3),0), IF((AND(I6&lt;&gt;"not enrolled", K6&lt;&gt;"not enrolled", M6="not enrolled")), ROUND(((E22-(E22*0.04228))/2),0), IF((AND(I6&lt;&gt;"not enrolled", K6="not enrolled", M6="not enrolled")), ROUND(((E22-(E22*0.04228))/1),0), 0)))</f>
        <v>0</v>
      </c>
      <c r="J22" s="11"/>
      <c r="K22" s="12">
        <f>IF((AND(I6&lt;&gt;"not enrolled", K6&lt;&gt;"not enrolled", M6&lt;&gt;"not enrolled")), ROUND(((E22-(E22*0.04228))/3),0), IF((AND(I6&lt;&gt;"not enrolled", K6&lt;&gt;"not enrolled", M6="not enrolled")), ROUND(((E22-(E22*0.04228))/2),0), IF((AND(I6="not enrolled", K6&lt;&gt;"not enrolled", M6&lt;&gt;"not enrolled")), ROUND(((E22-(E22*0.04228))/2),0), 0)))</f>
        <v>0</v>
      </c>
      <c r="L22" s="12"/>
      <c r="M22" s="12">
        <f>IF((AND(I6&lt;&gt;"not enrolled", K6&lt;&gt;"not enrolled", M6&lt;&gt;"not enrolled")), ROUND(((E22-(E22*0.04228))/3),0), IF((AND(I6="not enrolled", K6&lt;&gt;"not enrolled", M6&lt;&gt;"not enrolled")), ROUND(((E22-(E22*0.04228))/2),0), IF((AND(I6="not enrolled", K6="not enrolled", M6&lt;&gt;"not enrolled")), ROUND(((E22-(E22*0.04228))/1),0), 0)))</f>
        <v>0</v>
      </c>
      <c r="N22" s="11"/>
    </row>
    <row r="23" spans="2:15" ht="21.75" customHeight="1" x14ac:dyDescent="0.25">
      <c r="B23" s="71" t="s">
        <v>22</v>
      </c>
      <c r="C23" s="71"/>
      <c r="D23" s="71"/>
      <c r="E23" s="71"/>
      <c r="G23" s="17"/>
      <c r="I23" s="5">
        <f>IF((AND(I6&lt;&gt;"not enrolled", K6&lt;&gt;"not enrolled", M6&lt;&gt;"not enrolled")), (G23/3), IF((AND(I6&lt;&gt;"not enrolled", K6&lt;&gt;"not enrolled", M6="not enrolled")), (G23/2), IF((AND(I6&lt;&gt;"not enrolled", K6="not enrolled", M6="not enrolled")), (G23/1), 0)))</f>
        <v>0</v>
      </c>
      <c r="K23" s="5">
        <f>IF((AND(I6&lt;&gt;"not enrolled", K6&lt;&gt;"not enrolled", M6&lt;&gt;"not enrolled")), (G23/3), IF((AND(I6&lt;&gt;"not enrolled", K6&lt;&gt;"not enrolled", M6="not enrolled")), (G23/2), IF((AND(I6="not enrolled", K6&lt;&gt;"not enrolled", M6&lt;&gt;"not enrolled")), (G23/2), 0)))</f>
        <v>0</v>
      </c>
      <c r="M23" s="5">
        <f>IF((AND(I6&lt;&gt;"not enrolled", K6&lt;&gt;"not enrolled", M6&lt;&gt;"not enrolled")), (G23/3), IF((AND(I6="not enrolled", K6&lt;&gt;"not enrolled", M6&lt;&gt;"not enrolled")), (G23/2), IF((AND(I6="not enrolled", K6="not enrolled", M6&lt;&gt;"not enrolled")), (G23), 0)))</f>
        <v>0</v>
      </c>
    </row>
    <row r="24" spans="2:15" ht="21.75" customHeight="1" x14ac:dyDescent="0.25">
      <c r="B24" s="77" t="s">
        <v>23</v>
      </c>
      <c r="C24" s="77"/>
      <c r="D24" s="77"/>
      <c r="E24" s="77"/>
      <c r="F24" s="77"/>
      <c r="G24" s="28">
        <f>I24+K24+M24</f>
        <v>0</v>
      </c>
      <c r="H24" s="27"/>
      <c r="I24" s="19"/>
      <c r="J24" s="27"/>
      <c r="K24" s="19"/>
      <c r="L24" s="33"/>
      <c r="M24" s="24"/>
      <c r="N24" s="27"/>
    </row>
    <row r="25" spans="2:15" ht="21.75" customHeight="1" x14ac:dyDescent="0.25">
      <c r="C25" s="8" t="s">
        <v>10</v>
      </c>
      <c r="G25" s="5">
        <f>SUM(G19:G24)</f>
        <v>0</v>
      </c>
      <c r="I25" s="5">
        <f>SUM(I19:I24)</f>
        <v>0</v>
      </c>
      <c r="K25" s="5">
        <f>SUM(K19:K23,K24)</f>
        <v>0</v>
      </c>
      <c r="M25" s="5">
        <f>SUM(M19:M23,M24)</f>
        <v>0</v>
      </c>
    </row>
    <row r="26" spans="2:15" ht="15.75" thickBot="1" x14ac:dyDescent="0.3"/>
    <row r="27" spans="2:15" ht="21.75" customHeight="1" thickTop="1" thickBot="1" x14ac:dyDescent="0.35">
      <c r="B27" s="15" t="s">
        <v>12</v>
      </c>
      <c r="C27" s="14"/>
      <c r="D27" s="14"/>
      <c r="E27" s="14"/>
      <c r="F27" s="14"/>
      <c r="G27" s="25">
        <f>G16-G25</f>
        <v>0</v>
      </c>
      <c r="H27" s="26"/>
      <c r="I27" s="25">
        <f>I16-I25</f>
        <v>0</v>
      </c>
      <c r="J27" s="26"/>
      <c r="K27" s="25">
        <f>K16-K25</f>
        <v>0</v>
      </c>
      <c r="L27" s="25"/>
      <c r="M27" s="25">
        <f>M16-M25</f>
        <v>0</v>
      </c>
      <c r="N27" s="14"/>
    </row>
    <row r="28" spans="2:15" ht="15.75" thickTop="1" x14ac:dyDescent="0.25"/>
    <row r="29" spans="2:15" x14ac:dyDescent="0.25">
      <c r="B29" s="8" t="s">
        <v>13</v>
      </c>
    </row>
    <row r="30" spans="2:15" ht="21.75" customHeight="1" x14ac:dyDescent="0.25">
      <c r="B30" s="74" t="s">
        <v>122</v>
      </c>
      <c r="C30" s="72"/>
      <c r="D30" s="72"/>
      <c r="E30" s="72"/>
      <c r="F30" s="72"/>
      <c r="G30" s="72"/>
      <c r="H30" s="72"/>
      <c r="I30" s="72"/>
      <c r="J30" s="72"/>
      <c r="K30" s="72"/>
      <c r="L30" s="72"/>
      <c r="M30" s="72"/>
      <c r="N30" s="72"/>
      <c r="O30" s="72"/>
    </row>
    <row r="31" spans="2:15" ht="17.25" customHeight="1" x14ac:dyDescent="0.25">
      <c r="B31" s="71" t="s">
        <v>109</v>
      </c>
      <c r="C31" s="71"/>
      <c r="D31" s="71"/>
      <c r="E31" s="71"/>
      <c r="F31" s="71"/>
      <c r="G31" s="71"/>
      <c r="H31" s="71"/>
      <c r="I31" s="71"/>
      <c r="J31" s="71"/>
      <c r="K31" s="71"/>
      <c r="L31" s="71"/>
      <c r="M31" s="71"/>
      <c r="N31" s="71"/>
    </row>
    <row r="32" spans="2:15" ht="31.5" customHeight="1" x14ac:dyDescent="0.25">
      <c r="B32" s="72" t="s">
        <v>123</v>
      </c>
      <c r="C32" s="72"/>
      <c r="D32" s="72"/>
      <c r="E32" s="72"/>
      <c r="F32" s="72"/>
      <c r="G32" s="72"/>
      <c r="H32" s="72"/>
      <c r="I32" s="72"/>
      <c r="J32" s="72"/>
      <c r="K32" s="72"/>
      <c r="L32" s="72"/>
      <c r="M32" s="72"/>
      <c r="N32" s="72"/>
    </row>
    <row r="33" spans="2:14" ht="33.6" customHeight="1" x14ac:dyDescent="0.25">
      <c r="B33" s="72" t="s">
        <v>74</v>
      </c>
      <c r="C33" s="72"/>
      <c r="D33" s="72"/>
      <c r="E33" s="72"/>
      <c r="F33" s="72"/>
      <c r="G33" s="72"/>
      <c r="H33" s="72"/>
      <c r="I33" s="72"/>
      <c r="J33" s="72"/>
      <c r="K33" s="72"/>
      <c r="L33" s="72"/>
      <c r="M33" s="72"/>
      <c r="N33" s="72"/>
    </row>
    <row r="34" spans="2:14" ht="47.45" customHeight="1" x14ac:dyDescent="0.25">
      <c r="B34" s="72" t="s">
        <v>124</v>
      </c>
      <c r="C34" s="72"/>
      <c r="D34" s="72"/>
      <c r="E34" s="72"/>
      <c r="F34" s="72"/>
      <c r="G34" s="72"/>
      <c r="H34" s="72"/>
      <c r="I34" s="72"/>
      <c r="J34" s="72"/>
      <c r="K34" s="72"/>
      <c r="L34" s="72"/>
      <c r="M34" s="72"/>
      <c r="N34" s="72"/>
    </row>
    <row r="35" spans="2:14" ht="21.75" customHeight="1" x14ac:dyDescent="0.25"/>
    <row r="37" spans="2:14" x14ac:dyDescent="0.25">
      <c r="B37" s="67" t="s">
        <v>14</v>
      </c>
      <c r="C37" s="67"/>
      <c r="D37" s="67"/>
      <c r="E37" s="67"/>
      <c r="F37" s="67"/>
      <c r="G37" s="67"/>
      <c r="H37" s="67"/>
      <c r="I37" s="67"/>
      <c r="J37" s="67"/>
      <c r="K37" s="67"/>
      <c r="L37" s="67"/>
      <c r="M37" s="67"/>
      <c r="N37" s="67"/>
    </row>
  </sheetData>
  <sheetProtection algorithmName="SHA-512" hashValue="BigR8YbljMhDSjqf1Nrj0w9iG/6m7xBrRXTIJd6opx8MHOAAoNU6ShJwhvCOBxc/XzB/gUeEeGMuC0k6DK6dyg==" saltValue="IvD66XjtFHv6zmydMGtTXw==" spinCount="100000" sheet="1" selectLockedCells="1"/>
  <mergeCells count="13">
    <mergeCell ref="B31:N31"/>
    <mergeCell ref="B34:N34"/>
    <mergeCell ref="B37:N37"/>
    <mergeCell ref="F2:N2"/>
    <mergeCell ref="B30:O30"/>
    <mergeCell ref="B4:N4"/>
    <mergeCell ref="C10:D10"/>
    <mergeCell ref="B23:E23"/>
    <mergeCell ref="B24:F24"/>
    <mergeCell ref="B14:D14"/>
    <mergeCell ref="B15:D15"/>
    <mergeCell ref="B32:N32"/>
    <mergeCell ref="B33:N33"/>
  </mergeCells>
  <hyperlinks>
    <hyperlink ref="B14" r:id="rId1" display="Will you enroll in DU's health insurance plan?" xr:uid="{00000000-0004-0000-0100-000000000000}"/>
    <hyperlink ref="B15" r:id="rId2" display="Will you use DU Health &amp; Counseling Services? " xr:uid="{00000000-0004-0000-01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Data1!$A$2:$A$22</xm:f>
          </x14:formula1>
          <xm:sqref>M6 I6 K6</xm:sqref>
        </x14:dataValidation>
        <x14:dataValidation type="list" allowBlank="1" showInputMessage="1" showErrorMessage="1" xr:uid="{00000000-0002-0000-0100-000001000000}">
          <x14:formula1>
            <xm:f>Data1!$A$25:$A$26</xm:f>
          </x14:formula1>
          <xm:sqref>E14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37"/>
  <sheetViews>
    <sheetView showGridLines="0" showRowColHeaders="0" showRuler="0" zoomScaleNormal="100" workbookViewId="0">
      <selection activeCell="F14" sqref="F14"/>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H2" s="81" t="s">
        <v>113</v>
      </c>
      <c r="I2" s="82"/>
      <c r="J2" s="82"/>
      <c r="K2" s="82"/>
      <c r="L2" s="82"/>
      <c r="M2" s="82"/>
      <c r="N2" s="82"/>
      <c r="O2" s="82"/>
    </row>
    <row r="3" spans="2:15" ht="8.25" customHeight="1" x14ac:dyDescent="0.25">
      <c r="B3" s="20"/>
      <c r="C3" s="20"/>
      <c r="D3" s="20"/>
      <c r="E3" s="20"/>
      <c r="F3" s="20"/>
      <c r="G3" s="20"/>
      <c r="H3" s="21"/>
      <c r="I3" s="22"/>
      <c r="J3" s="22"/>
      <c r="K3" s="22"/>
      <c r="L3" s="22"/>
      <c r="M3" s="22"/>
      <c r="N3" s="22"/>
      <c r="O3" s="22"/>
    </row>
    <row r="4" spans="2:15" ht="27.75" customHeight="1" x14ac:dyDescent="0.25">
      <c r="B4" s="47"/>
      <c r="C4" s="53" t="s">
        <v>57</v>
      </c>
      <c r="D4" s="47"/>
      <c r="E4" s="47"/>
      <c r="F4" s="47"/>
      <c r="G4" s="47"/>
      <c r="H4" s="47"/>
      <c r="I4" s="47"/>
      <c r="J4" s="47"/>
      <c r="K4" s="47"/>
      <c r="L4" s="47"/>
      <c r="M4" s="47"/>
      <c r="N4" s="47"/>
      <c r="O4" s="47"/>
    </row>
    <row r="5" spans="2:15" ht="19.5" customHeight="1" x14ac:dyDescent="0.25">
      <c r="J5" s="46" t="s">
        <v>91</v>
      </c>
      <c r="L5" s="46" t="s">
        <v>92</v>
      </c>
      <c r="N5" s="46" t="s">
        <v>93</v>
      </c>
    </row>
    <row r="6" spans="2:15" ht="18" customHeight="1" x14ac:dyDescent="0.3">
      <c r="D6" s="6" t="s">
        <v>15</v>
      </c>
      <c r="E6" s="29"/>
      <c r="F6" s="29"/>
      <c r="G6" s="29"/>
      <c r="H6" s="29"/>
      <c r="I6" s="29"/>
      <c r="J6" s="45" t="s">
        <v>63</v>
      </c>
      <c r="L6" s="45" t="s">
        <v>63</v>
      </c>
      <c r="M6" s="23"/>
      <c r="N6" s="45" t="s">
        <v>63</v>
      </c>
      <c r="O6" s="29"/>
    </row>
    <row r="7" spans="2:15" ht="6" customHeight="1" x14ac:dyDescent="0.25"/>
    <row r="8" spans="2:15" ht="15.75" thickBot="1" x14ac:dyDescent="0.3">
      <c r="B8" s="1" t="s">
        <v>7</v>
      </c>
      <c r="C8" s="1"/>
      <c r="D8" s="2"/>
      <c r="E8" s="2"/>
      <c r="F8" s="2"/>
      <c r="G8" s="2"/>
      <c r="H8" s="4" t="s">
        <v>3</v>
      </c>
      <c r="I8" s="3"/>
      <c r="J8" s="4" t="s">
        <v>95</v>
      </c>
      <c r="K8" s="3"/>
      <c r="L8" s="4" t="s">
        <v>96</v>
      </c>
      <c r="M8" s="4"/>
      <c r="N8" s="4" t="s">
        <v>97</v>
      </c>
      <c r="O8" s="2"/>
    </row>
    <row r="9" spans="2:15" ht="9" customHeight="1" x14ac:dyDescent="0.25"/>
    <row r="10" spans="2:15" ht="21.75" customHeight="1" x14ac:dyDescent="0.25">
      <c r="B10" s="10" t="s">
        <v>1</v>
      </c>
      <c r="C10" s="10"/>
      <c r="D10" s="76"/>
      <c r="E10" s="76"/>
      <c r="F10" s="11"/>
      <c r="G10" s="11"/>
      <c r="H10" s="12">
        <f>J10+L10+N10</f>
        <v>0</v>
      </c>
      <c r="I10" s="11"/>
      <c r="J10" s="12">
        <f>VLOOKUP(J6, Data1!K2:M22, 2, FALSE)</f>
        <v>0</v>
      </c>
      <c r="K10" s="11"/>
      <c r="L10" s="12">
        <f>VLOOKUP(L6,Data1!K2:N22,2,FALSE)</f>
        <v>0</v>
      </c>
      <c r="M10" s="12"/>
      <c r="N10" s="12">
        <f>VLOOKUP(N6,Data1!K2:N22,2,FALSE)</f>
        <v>0</v>
      </c>
      <c r="O10" s="11"/>
    </row>
    <row r="11" spans="2:15" ht="21.75" customHeight="1" x14ac:dyDescent="0.25">
      <c r="B11" s="35" t="s">
        <v>0</v>
      </c>
      <c r="C11" s="35"/>
    </row>
    <row r="12" spans="2:15" ht="21.75" customHeight="1" x14ac:dyDescent="0.25">
      <c r="B12" s="13" t="s">
        <v>2</v>
      </c>
      <c r="C12" s="13"/>
      <c r="D12" s="11"/>
      <c r="E12" s="11"/>
      <c r="F12" s="11"/>
      <c r="G12" s="11"/>
      <c r="H12" s="12">
        <f>J12+L12+N12</f>
        <v>0</v>
      </c>
      <c r="I12" s="11"/>
      <c r="J12" s="12">
        <f>VLOOKUP(J6,Data1!K2:N22,3,FALSE)</f>
        <v>0</v>
      </c>
      <c r="K12" s="11"/>
      <c r="L12" s="12">
        <f>VLOOKUP(L6,Data1!K2:N22,3,FALSE)</f>
        <v>0</v>
      </c>
      <c r="M12" s="12"/>
      <c r="N12" s="12">
        <f>VLOOKUP(N6,Data1!K2:N22,3,FALSE)</f>
        <v>0</v>
      </c>
      <c r="O12" s="11"/>
    </row>
    <row r="13" spans="2:15" ht="21.75" customHeight="1" x14ac:dyDescent="0.25">
      <c r="B13" s="39" t="s">
        <v>17</v>
      </c>
      <c r="C13" s="39"/>
      <c r="H13" s="5">
        <f>J13+L13+N13</f>
        <v>0</v>
      </c>
      <c r="J13" s="5">
        <f>VLOOKUP(J6,Data1!K2:N22,4,FALSE)</f>
        <v>0</v>
      </c>
      <c r="L13" s="5">
        <f>VLOOKUP(L6,Data1!K2:N22,4,FALSE)</f>
        <v>0</v>
      </c>
      <c r="N13" s="5">
        <f>VLOOKUP(N6,Data1!K2:N22,4,FALSE)</f>
        <v>0</v>
      </c>
    </row>
    <row r="14" spans="2:15" ht="21.75" customHeight="1" x14ac:dyDescent="0.25">
      <c r="B14" s="78" t="s">
        <v>56</v>
      </c>
      <c r="C14" s="78"/>
      <c r="D14" s="78"/>
      <c r="E14" s="79"/>
      <c r="F14" s="31" t="s">
        <v>5</v>
      </c>
      <c r="G14" s="11"/>
      <c r="H14" s="30">
        <f>J14+L14+N14</f>
        <v>0</v>
      </c>
      <c r="I14" s="11"/>
      <c r="J14" s="30">
        <f>IF(AND(F14="Yes", J6&lt;&gt;"not enrolled"), (VLOOKUP(F14, Data1!A25:C26, 2, FALSE)), 0)</f>
        <v>0</v>
      </c>
      <c r="K14" s="11"/>
      <c r="L14" s="30">
        <v>0</v>
      </c>
      <c r="M14" s="30"/>
      <c r="N14" s="30">
        <f>IF(AND(F14="Yes", N6&lt;&gt;"not enrolled"), (VLOOKUP(F14, Data1!A25:C26, 2, FALSE)), 0)</f>
        <v>0</v>
      </c>
      <c r="O14" s="11"/>
    </row>
    <row r="15" spans="2:15" ht="21.75" customHeight="1" x14ac:dyDescent="0.25">
      <c r="B15" s="80" t="s">
        <v>64</v>
      </c>
      <c r="C15" s="80"/>
      <c r="D15" s="80"/>
      <c r="E15" s="80"/>
      <c r="F15" s="60"/>
      <c r="G15" s="7"/>
      <c r="H15" s="32">
        <f>J15+L15+N15</f>
        <v>0</v>
      </c>
      <c r="I15" s="7"/>
      <c r="J15" s="52">
        <f>IF(AND(J6&lt;&gt;"select", J6&lt;&gt;"not enrolled",J6&lt;&gt;"4 credits",J6&lt;&gt;"5 credits",J6&lt;&gt;"6 credits",J6&lt;&gt;"7 credits"), 258, 0)</f>
        <v>0</v>
      </c>
      <c r="K15" s="7"/>
      <c r="L15" s="52">
        <f>IF(AND(L6&lt;&gt;"select", L6&lt;&gt;"not enrolled",L6&lt;&gt;"4 credits",L6&lt;&gt;"5 credits",L6&lt;&gt;"6 credits",L6&lt;&gt;"7 credits"), 258, 0)</f>
        <v>0</v>
      </c>
      <c r="M15" s="32"/>
      <c r="N15" s="52">
        <f>IF(AND(N6&lt;&gt;"select", N6&lt;&gt;"not enrolled",N6&lt;&gt;"4 credits",N6&lt;&gt;"5 credits",N6&lt;&gt;"6 credits",N6&lt;&gt;"7 credits"), 258, 0)</f>
        <v>0</v>
      </c>
      <c r="O15" s="7"/>
    </row>
    <row r="16" spans="2:15" ht="21.75" customHeight="1" x14ac:dyDescent="0.25">
      <c r="D16" s="8" t="s">
        <v>6</v>
      </c>
      <c r="H16" s="9">
        <f>SUM(H10, H12:H15)</f>
        <v>0</v>
      </c>
      <c r="J16" s="9">
        <f>SUM(J10,J12:J15)</f>
        <v>0</v>
      </c>
      <c r="L16" s="9">
        <f>SUM(L10,L12:L15)</f>
        <v>0</v>
      </c>
      <c r="M16" s="9"/>
      <c r="N16" s="9">
        <f>SUM(N10,N12:N15)</f>
        <v>0</v>
      </c>
    </row>
    <row r="17" spans="2:15" ht="24" customHeight="1" x14ac:dyDescent="0.25"/>
    <row r="18" spans="2:15" ht="15.75" thickBot="1" x14ac:dyDescent="0.3">
      <c r="B18" s="1" t="s">
        <v>11</v>
      </c>
      <c r="C18" s="1"/>
      <c r="D18" s="2"/>
      <c r="E18" s="2"/>
      <c r="F18" s="2"/>
      <c r="G18" s="2"/>
      <c r="H18" s="4" t="s">
        <v>3</v>
      </c>
      <c r="I18" s="3"/>
      <c r="J18" s="4" t="s">
        <v>95</v>
      </c>
      <c r="K18" s="3"/>
      <c r="L18" s="4" t="s">
        <v>96</v>
      </c>
      <c r="M18" s="4"/>
      <c r="N18" s="4" t="s">
        <v>97</v>
      </c>
      <c r="O18" s="2"/>
    </row>
    <row r="19" spans="2:15" ht="21.75" customHeight="1" x14ac:dyDescent="0.25">
      <c r="B19" t="s">
        <v>16</v>
      </c>
      <c r="H19" s="16"/>
      <c r="J19" s="5">
        <f>IF((AND(J6&lt;&gt;"not enrolled", L6&lt;&gt;"not enrolled", N6&lt;&gt;"not enrolled")), (H19/3), IF((AND(J6&lt;&gt;"not enrolled", L6&lt;&gt;"not enrolled", N6="not enrolled")), (H19/2), IF((AND(J6&lt;&gt;"not enrolled", L6="not enrolled", N6="not enrolled")), (H19/1), 0)))</f>
        <v>0</v>
      </c>
      <c r="L19" s="5">
        <f>IF((AND(J6&lt;&gt;"not enrolled", L6&lt;&gt;"not enrolled", N6&lt;&gt;"not enrolled")), (H19/3), IF((AND(J6&lt;&gt;"not enrolled", L6&lt;&gt;"not enrolled", N6="not enrolled")), (H19/2), IF((AND(J6="not enrolled", L6&lt;&gt;"not enrolled", N6&lt;&gt;"not enrolled")), (H19/2), 0)))</f>
        <v>0</v>
      </c>
      <c r="N19" s="5">
        <f>IF((AND(J6&lt;&gt;"not enrolled", L6&lt;&gt;"not enrolled", N6&lt;&gt;"not enrolled")), (H19/3), IF((AND(J6="not enrolled", L6&lt;&gt;"not enrolled", N6&lt;&gt;"not enrolled")), (H19/2), IF((AND(J6="not enrolled", L6="not enrolled", N6&lt;&gt;"not enrolled")), (H19), 0)))</f>
        <v>0</v>
      </c>
    </row>
    <row r="20" spans="2:15" ht="21.75" customHeight="1" x14ac:dyDescent="0.25">
      <c r="B20" s="11" t="s">
        <v>8</v>
      </c>
      <c r="C20" s="11"/>
      <c r="D20" s="11"/>
      <c r="E20" s="11"/>
      <c r="F20" s="11"/>
      <c r="G20" s="11"/>
      <c r="H20" s="17"/>
      <c r="I20" s="11"/>
      <c r="J20" s="12">
        <f>IF((AND(J6&lt;&gt;"not enrolled", L6&lt;&gt;"not enrolled", N6&lt;&gt;"not enrolled")), (H20/3), IF((AND(J6&lt;&gt;"not enrolled", L6&lt;&gt;"not enrolled", N6="not enrolled")), (H20/2), IF((AND(J6&lt;&gt;"not enrolled", L6="not enrolled", N6="not enrolled")), (H20/1), 0)))</f>
        <v>0</v>
      </c>
      <c r="K20" s="11"/>
      <c r="L20" s="12">
        <f>IF((AND(J6&lt;&gt;"not enrolled", L6&lt;&gt;"not enrolled", N6&lt;&gt;"not enrolled")), (H20/3), IF((AND(J6&lt;&gt;"not enrolled", L6&lt;&gt;"not enrolled", N6="not enrolled")), (H20/2), IF((AND(J6="not enrolled", L6&lt;&gt;"not enrolled", N6&lt;&gt;"not enrolled")), (H20/2), 0)))</f>
        <v>0</v>
      </c>
      <c r="M20" s="12"/>
      <c r="N20" s="12">
        <f>IF((AND(J6&lt;&gt;"not enrolled", L6&lt;&gt;"not enrolled", N6&lt;&gt;"not enrolled")), (H20/3), IF((AND(J6="not enrolled", L6&lt;&gt;"not enrolled", N6&lt;&gt;"not enrolled")), (H20/2), IF((AND(J6="not enrolled", L6="not enrolled", N6&lt;&gt;"not enrolled")), (H20), 0)))</f>
        <v>0</v>
      </c>
      <c r="O20" s="11"/>
    </row>
    <row r="21" spans="2:15" ht="21.75" customHeight="1" x14ac:dyDescent="0.25">
      <c r="B21" t="s">
        <v>65</v>
      </c>
      <c r="F21" s="18"/>
      <c r="H21" s="5">
        <f>SUM(J21,L21,N21)</f>
        <v>0</v>
      </c>
      <c r="J21" s="5">
        <f>IF((AND(J6&lt;&gt;"not enrolled", L6&lt;&gt;"not enrolled", N6&lt;&gt;"not enrolled")), ROUND(((F21-(F21*0.01057))/3),0), IF((AND(J6&lt;&gt;"not enrolled", L6&lt;&gt;"not enrolled", N6="not enrolled")), ROUND(((F21-(F21*0.01057))/2),0), IF((AND(J6&lt;&gt;"not enrolled", L6="not enrolled", N6="not enrolled")), ROUND(((F21-(F21*0.01057))/1),0), 0)))</f>
        <v>0</v>
      </c>
      <c r="L21" s="5">
        <f>IF((AND(J6&lt;&gt;"not enrolled", L6&lt;&gt;"not enrolled", N6&lt;&gt;"not enrolled")), ROUND(((F21-(F21*0.01057))/3),0), IF((AND(J6&lt;&gt;"not enrolled", L6&lt;&gt;"not enrolled", N6="not enrolled")), ROUND(((F21-(F21*0.01057))/2),0), IF((AND(J6="not enrolled", L6&lt;&gt;"not enrolled", N6&lt;&gt;"not enrolled")), ROUND(((F21-(F21*0.01057))/2),0), 0)))</f>
        <v>0</v>
      </c>
      <c r="N21" s="5">
        <f>IF((AND(J6&lt;&gt;"not enrolled", L6&lt;&gt;"not enrolled", N6&lt;&gt;"not enrolled")), ROUND(((F21-(F21*0.01057))/3),0), IF((AND(J6="not enrolled", L6&lt;&gt;"not enrolled", N6&lt;&gt;"not enrolled")), ROUND(((F21-(F21*0.01057))/2),0), IF((AND(J6="not enrolled", L6="not enrolled", N6&lt;&gt;"not enrolled")), ROUND(((F21-(F21*0.01057))/1),0), 0)))</f>
        <v>0</v>
      </c>
    </row>
    <row r="22" spans="2:15" ht="21.75" customHeight="1" x14ac:dyDescent="0.25">
      <c r="B22" s="11" t="s">
        <v>66</v>
      </c>
      <c r="C22" s="11"/>
      <c r="D22" s="11"/>
      <c r="E22" s="11"/>
      <c r="F22" s="18"/>
      <c r="G22" s="11"/>
      <c r="H22" s="12">
        <f>SUM(J22,L22,N22)</f>
        <v>0</v>
      </c>
      <c r="I22" s="11"/>
      <c r="J22" s="12">
        <f>IF((AND(J6&lt;&gt;"not enrolled", L6&lt;&gt;"not enrolled", N6&lt;&gt;"not enrolled")), ROUND(((F22-(F22*0.04228))/3),0), IF((AND(J6&lt;&gt;"not enrolled", L6&lt;&gt;"not enrolled", N6="not enrolled")), ROUND(((F22-(F22*0.04228))/2),0), IF((AND(J6&lt;&gt;"not enrolled", L6="not enrolled", N6="not enrolled")), ROUND(((F22-(F22*0.04228))/1),0), 0)))</f>
        <v>0</v>
      </c>
      <c r="K22" s="11"/>
      <c r="L22" s="12">
        <f>IF((AND(J6&lt;&gt;"not enrolled", L6&lt;&gt;"not enrolled", N6&lt;&gt;"not enrolled")), ROUND(((F22-(F22*0.04228))/3),0), IF((AND(J6&lt;&gt;"not enrolled", L6&lt;&gt;"not enrolled", N6="not enrolled")), ROUND(((F22-(F22*0.04228))/2),0), IF((AND(J6="not enrolled", L6&lt;&gt;"not enrolled", N6&lt;&gt;"not enrolled")), ROUND(((F22-(F22*0.04228))/2),0), 0)))</f>
        <v>0</v>
      </c>
      <c r="M22" s="12"/>
      <c r="N22" s="12">
        <f>IF((AND(J6&lt;&gt;"not enrolled", L6&lt;&gt;"not enrolled", N6&lt;&gt;"not enrolled")), ROUND(((F22-(F22*0.04228))/3),0), IF((AND(J6="not enrolled", L6&lt;&gt;"not enrolled", N6&lt;&gt;"not enrolled")), ROUND(((F22-(F22*0.04228))/2),0), IF((AND(J6="not enrolled", L6="not enrolled", N6&lt;&gt;"not enrolled")), ROUND(((F22-(F22*0.04228))/1),0), 0)))</f>
        <v>0</v>
      </c>
      <c r="O22" s="11"/>
    </row>
    <row r="23" spans="2:15" ht="21.75" customHeight="1" x14ac:dyDescent="0.25">
      <c r="B23" s="71" t="s">
        <v>22</v>
      </c>
      <c r="C23" s="71"/>
      <c r="D23" s="71"/>
      <c r="E23" s="71"/>
      <c r="F23" s="71"/>
      <c r="H23" s="17"/>
      <c r="J23" s="5">
        <f>IF((AND(J6&lt;&gt;"not enrolled", L6&lt;&gt;"not enrolled", N6&lt;&gt;"not enrolled")), (H23/3), IF((AND(J6&lt;&gt;"not enrolled", L6&lt;&gt;"not enrolled", N6="not enrolled")), (H23/2), IF((AND(J6&lt;&gt;"not enrolled", L6="not enrolled", N6="not enrolled")), (H23/1), 0)))</f>
        <v>0</v>
      </c>
      <c r="L23" s="5">
        <f>IF((AND(J6&lt;&gt;"not enrolled", L6&lt;&gt;"not enrolled", N6&lt;&gt;"not enrolled")), (H23/3), IF((AND(J6&lt;&gt;"not enrolled", L6&lt;&gt;"not enrolled", N6="not enrolled")), (H23/2), IF((AND(J6="not enrolled", L6&lt;&gt;"not enrolled", N6&lt;&gt;"not enrolled")), (H23/2), 0)))</f>
        <v>0</v>
      </c>
      <c r="N23" s="5">
        <f>IF((AND(J6&lt;&gt;"not enrolled", L6&lt;&gt;"not enrolled", N6&lt;&gt;"not enrolled")), (H23/3), IF((AND(J6="not enrolled", L6&lt;&gt;"not enrolled", N6&lt;&gt;"not enrolled")), (H23/2), IF((AND(J6="not enrolled", L6="not enrolled", N6&lt;&gt;"not enrolled")), (H23), 0)))</f>
        <v>0</v>
      </c>
    </row>
    <row r="24" spans="2:15" ht="21.75" customHeight="1" x14ac:dyDescent="0.25">
      <c r="B24" s="77" t="s">
        <v>23</v>
      </c>
      <c r="C24" s="77"/>
      <c r="D24" s="77"/>
      <c r="E24" s="77"/>
      <c r="F24" s="77"/>
      <c r="G24" s="77"/>
      <c r="H24" s="28">
        <f>J24+L24+N24</f>
        <v>0</v>
      </c>
      <c r="I24" s="27"/>
      <c r="J24" s="19"/>
      <c r="K24" s="27"/>
      <c r="L24" s="19"/>
      <c r="M24" s="33"/>
      <c r="N24" s="52"/>
      <c r="O24" s="27"/>
    </row>
    <row r="25" spans="2:15" ht="21.75" customHeight="1" x14ac:dyDescent="0.25">
      <c r="D25" s="8" t="s">
        <v>10</v>
      </c>
      <c r="H25" s="5">
        <f>SUM(H19:H24)</f>
        <v>0</v>
      </c>
      <c r="J25" s="5">
        <f>SUM(J19:J24)</f>
        <v>0</v>
      </c>
      <c r="L25" s="5">
        <f>SUM(L19:L23,L24)</f>
        <v>0</v>
      </c>
      <c r="N25" s="5">
        <f>SUM(N19:N23,N24)</f>
        <v>0</v>
      </c>
    </row>
    <row r="26" spans="2:15" ht="15.75" thickBot="1" x14ac:dyDescent="0.3"/>
    <row r="27" spans="2:15" ht="21.75" customHeight="1" thickTop="1" thickBot="1" x14ac:dyDescent="0.35">
      <c r="B27" s="15" t="s">
        <v>12</v>
      </c>
      <c r="C27" s="15"/>
      <c r="D27" s="14"/>
      <c r="E27" s="14"/>
      <c r="F27" s="14"/>
      <c r="G27" s="14"/>
      <c r="H27" s="25">
        <f>H16-H25</f>
        <v>0</v>
      </c>
      <c r="I27" s="26"/>
      <c r="J27" s="25">
        <f>J16-J25</f>
        <v>0</v>
      </c>
      <c r="K27" s="26"/>
      <c r="L27" s="25">
        <f>L16-L25</f>
        <v>0</v>
      </c>
      <c r="M27" s="25"/>
      <c r="N27" s="25">
        <f>N16-N25</f>
        <v>0</v>
      </c>
      <c r="O27" s="14"/>
    </row>
    <row r="28" spans="2:15" ht="15.75" thickTop="1" x14ac:dyDescent="0.25"/>
    <row r="29" spans="2:15" x14ac:dyDescent="0.25">
      <c r="B29" s="8" t="s">
        <v>13</v>
      </c>
      <c r="C29" s="8"/>
    </row>
    <row r="30" spans="2:15" ht="21.75" customHeight="1" x14ac:dyDescent="0.25">
      <c r="B30" s="51">
        <v>1</v>
      </c>
      <c r="C30" s="72" t="s">
        <v>114</v>
      </c>
      <c r="D30" s="72"/>
      <c r="E30" s="72"/>
      <c r="F30" s="72"/>
      <c r="G30" s="72"/>
      <c r="H30" s="72"/>
      <c r="I30" s="72"/>
      <c r="J30" s="72"/>
      <c r="K30" s="72"/>
      <c r="L30" s="72"/>
      <c r="M30" s="72"/>
      <c r="N30" s="72"/>
      <c r="O30" s="72"/>
    </row>
    <row r="31" spans="2:15" ht="18" customHeight="1" x14ac:dyDescent="0.25">
      <c r="B31" s="49">
        <v>2</v>
      </c>
      <c r="C31" t="s">
        <v>102</v>
      </c>
      <c r="H31"/>
      <c r="J31"/>
      <c r="L31"/>
      <c r="M31"/>
      <c r="N31"/>
    </row>
    <row r="32" spans="2:15" ht="31.5" customHeight="1" x14ac:dyDescent="0.25">
      <c r="B32" s="48">
        <v>3</v>
      </c>
      <c r="C32" s="72" t="s">
        <v>115</v>
      </c>
      <c r="D32" s="72"/>
      <c r="E32" s="72"/>
      <c r="F32" s="72"/>
      <c r="G32" s="72"/>
      <c r="H32" s="72"/>
      <c r="I32" s="72"/>
      <c r="J32" s="72"/>
      <c r="K32" s="72"/>
      <c r="L32" s="72"/>
      <c r="M32" s="72"/>
      <c r="N32" s="72"/>
      <c r="O32" s="72"/>
    </row>
    <row r="33" spans="2:15" ht="33" customHeight="1" x14ac:dyDescent="0.25">
      <c r="B33" s="48">
        <v>4</v>
      </c>
      <c r="C33" s="72" t="s">
        <v>67</v>
      </c>
      <c r="D33" s="72"/>
      <c r="E33" s="72"/>
      <c r="F33" s="72"/>
      <c r="G33" s="72"/>
      <c r="H33" s="72"/>
      <c r="I33" s="72"/>
      <c r="J33" s="72"/>
      <c r="K33" s="72"/>
      <c r="L33" s="72"/>
      <c r="M33" s="72"/>
      <c r="N33" s="72"/>
      <c r="O33" s="72"/>
    </row>
    <row r="34" spans="2:15" ht="65.25" customHeight="1" x14ac:dyDescent="0.25">
      <c r="B34" s="48">
        <v>5</v>
      </c>
      <c r="C34" s="72" t="s">
        <v>116</v>
      </c>
      <c r="D34" s="72"/>
      <c r="E34" s="72"/>
      <c r="F34" s="72"/>
      <c r="G34" s="72"/>
      <c r="H34" s="72"/>
      <c r="I34" s="72"/>
      <c r="J34" s="72"/>
      <c r="K34" s="72"/>
      <c r="L34" s="72"/>
      <c r="M34" s="72"/>
      <c r="N34" s="72"/>
      <c r="O34" s="72"/>
    </row>
    <row r="35" spans="2:15" ht="21.75" customHeight="1" x14ac:dyDescent="0.25"/>
    <row r="37" spans="2:15" x14ac:dyDescent="0.25">
      <c r="B37" s="67" t="s">
        <v>14</v>
      </c>
      <c r="C37" s="67"/>
      <c r="D37" s="67"/>
      <c r="E37" s="67"/>
      <c r="F37" s="67"/>
      <c r="G37" s="67"/>
      <c r="H37" s="67"/>
      <c r="I37" s="67"/>
      <c r="J37" s="67"/>
      <c r="K37" s="67"/>
      <c r="L37" s="67"/>
      <c r="M37" s="67"/>
      <c r="N37" s="67"/>
      <c r="O37" s="67"/>
    </row>
  </sheetData>
  <sheetProtection algorithmName="SHA-512" hashValue="5AWYoncMl9k+by+rWxxjgo/oN4t9x6sgzTE2mB5/KInkMXZ4oNvfuzWJQO5/SqkoO2UHnmQBQYFgOdR+29ezSQ==" saltValue="MQn/SutlFTHks5+1IUlGEg==" spinCount="100000" sheet="1" selectLockedCells="1"/>
  <mergeCells count="11">
    <mergeCell ref="H2:O2"/>
    <mergeCell ref="D10:E10"/>
    <mergeCell ref="B37:O37"/>
    <mergeCell ref="B14:E14"/>
    <mergeCell ref="B15:E15"/>
    <mergeCell ref="B23:F23"/>
    <mergeCell ref="B24:G24"/>
    <mergeCell ref="C34:O34"/>
    <mergeCell ref="C30:O30"/>
    <mergeCell ref="C32:O32"/>
    <mergeCell ref="C33:O33"/>
  </mergeCells>
  <hyperlinks>
    <hyperlink ref="B14" r:id="rId1" display="Will you enroll in DU's health insurance plan?" xr:uid="{00000000-0004-0000-0200-000000000000}"/>
    <hyperlink ref="B15" r:id="rId2" display="Will you use DU Health &amp; Counseling Services? " xr:uid="{00000000-0004-0000-02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Data1!$K$2:$K$22</xm:f>
          </x14:formula1>
          <xm:sqref>N6 J6 L6</xm:sqref>
        </x14:dataValidation>
        <x14:dataValidation type="list" allowBlank="1" showInputMessage="1" showErrorMessage="1" xr:uid="{00000000-0002-0000-0200-000002000000}">
          <x14:formula1>
            <xm:f>Data1!$A$25:$A$26</xm:f>
          </x14:formula1>
          <xm:sqref>F14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0"/>
  <sheetViews>
    <sheetView showGridLines="0" showRowColHeaders="0" showRuler="0" zoomScaleNormal="100" workbookViewId="0">
      <selection activeCell="F5" sqref="F5:H5"/>
    </sheetView>
  </sheetViews>
  <sheetFormatPr defaultColWidth="8.85546875" defaultRowHeight="15" x14ac:dyDescent="0.25"/>
  <cols>
    <col min="1" max="1" width="4.140625" customWidth="1"/>
    <col min="4" max="4" width="26.140625" customWidth="1"/>
    <col min="5" max="5" width="11.42578125" bestFit="1" customWidth="1"/>
    <col min="7" max="7" width="13.140625" style="5" customWidth="1"/>
    <col min="8" max="8" width="4.7109375" customWidth="1"/>
    <col min="9" max="9" width="13.42578125" style="5" customWidth="1"/>
    <col min="10" max="10" width="4.7109375" customWidth="1"/>
    <col min="11" max="11" width="13.42578125" style="5" customWidth="1"/>
    <col min="12" max="12" width="4.7109375" style="5" customWidth="1"/>
    <col min="13" max="13" width="13.42578125" style="5" customWidth="1"/>
    <col min="14" max="14" width="3.42578125" customWidth="1"/>
  </cols>
  <sheetData>
    <row r="1" spans="2:14" ht="17.25" customHeight="1" x14ac:dyDescent="0.25"/>
    <row r="2" spans="2:14" ht="47.25" customHeight="1" x14ac:dyDescent="0.25">
      <c r="F2" s="73" t="s">
        <v>100</v>
      </c>
      <c r="G2" s="73"/>
      <c r="H2" s="73"/>
      <c r="I2" s="73"/>
      <c r="J2" s="73"/>
      <c r="K2" s="73"/>
      <c r="L2" s="73"/>
      <c r="M2" s="73"/>
      <c r="N2" s="73"/>
    </row>
    <row r="3" spans="2:14" ht="8.25" customHeight="1" x14ac:dyDescent="0.25">
      <c r="B3" s="20"/>
      <c r="C3" s="20"/>
      <c r="D3" s="20"/>
      <c r="E3" s="20"/>
      <c r="F3" s="20"/>
      <c r="G3" s="21"/>
      <c r="H3" s="22"/>
      <c r="I3" s="22"/>
      <c r="J3" s="22"/>
      <c r="K3" s="22"/>
      <c r="L3" s="22"/>
      <c r="M3" s="22"/>
      <c r="N3" s="22"/>
    </row>
    <row r="4" spans="2:14" ht="8.25" customHeight="1" x14ac:dyDescent="0.25">
      <c r="G4" s="58"/>
      <c r="H4" s="59"/>
      <c r="I4" s="59"/>
      <c r="J4" s="59"/>
      <c r="K4" s="59"/>
      <c r="L4" s="59"/>
      <c r="M4" s="59"/>
      <c r="N4" s="59"/>
    </row>
    <row r="5" spans="2:14" ht="21" x14ac:dyDescent="0.3">
      <c r="B5" s="6" t="s">
        <v>20</v>
      </c>
      <c r="D5" s="29"/>
      <c r="E5" s="29"/>
      <c r="F5" s="83" t="s">
        <v>101</v>
      </c>
      <c r="G5" s="84"/>
      <c r="H5" s="85"/>
      <c r="I5" s="59"/>
      <c r="J5" s="59"/>
      <c r="K5" s="59"/>
      <c r="L5" s="59"/>
      <c r="M5" s="59"/>
      <c r="N5" s="59"/>
    </row>
    <row r="6" spans="2:14" ht="8.25" customHeight="1" x14ac:dyDescent="0.25">
      <c r="G6" s="58"/>
      <c r="H6" s="59"/>
      <c r="I6" s="59"/>
      <c r="J6" s="59"/>
      <c r="K6" s="59"/>
      <c r="L6" s="59"/>
      <c r="M6" s="59"/>
      <c r="N6" s="59"/>
    </row>
    <row r="7" spans="2:14" ht="12" customHeight="1" x14ac:dyDescent="0.25">
      <c r="B7" s="75"/>
      <c r="C7" s="75"/>
      <c r="D7" s="75"/>
      <c r="E7" s="75"/>
      <c r="F7" s="75"/>
      <c r="G7" s="75"/>
      <c r="H7" s="75"/>
      <c r="I7" s="75"/>
      <c r="J7" s="75"/>
      <c r="K7" s="75"/>
      <c r="L7" s="75"/>
      <c r="M7" s="75"/>
      <c r="N7" s="75"/>
    </row>
    <row r="8" spans="2:14" ht="19.5" customHeight="1" x14ac:dyDescent="0.25">
      <c r="I8" s="46" t="s">
        <v>91</v>
      </c>
      <c r="K8" s="46" t="s">
        <v>92</v>
      </c>
      <c r="M8" s="46" t="s">
        <v>93</v>
      </c>
    </row>
    <row r="9" spans="2:14" ht="18" customHeight="1" x14ac:dyDescent="0.3">
      <c r="C9" s="6" t="s">
        <v>15</v>
      </c>
      <c r="D9" s="29"/>
      <c r="E9" s="29"/>
      <c r="F9" s="29"/>
      <c r="G9" s="29"/>
      <c r="H9" s="29"/>
      <c r="I9" s="45" t="s">
        <v>63</v>
      </c>
      <c r="K9" s="45" t="s">
        <v>63</v>
      </c>
      <c r="L9" s="23"/>
      <c r="M9" s="45" t="s">
        <v>63</v>
      </c>
      <c r="N9" s="29"/>
    </row>
    <row r="10" spans="2:14" ht="6" customHeight="1" x14ac:dyDescent="0.25"/>
    <row r="11" spans="2:14" ht="15.75" thickBot="1" x14ac:dyDescent="0.3">
      <c r="B11" s="1" t="s">
        <v>7</v>
      </c>
      <c r="C11" s="2"/>
      <c r="D11" s="2"/>
      <c r="E11" s="2"/>
      <c r="F11" s="2"/>
      <c r="G11" s="4" t="s">
        <v>3</v>
      </c>
      <c r="H11" s="3"/>
      <c r="I11" s="4" t="s">
        <v>95</v>
      </c>
      <c r="J11" s="3"/>
      <c r="K11" s="4" t="s">
        <v>96</v>
      </c>
      <c r="L11" s="4"/>
      <c r="M11" s="4" t="s">
        <v>97</v>
      </c>
      <c r="N11" s="2"/>
    </row>
    <row r="12" spans="2:14" ht="9" customHeight="1" x14ac:dyDescent="0.25"/>
    <row r="13" spans="2:14" ht="21.75" customHeight="1" x14ac:dyDescent="0.25">
      <c r="B13" s="10" t="s">
        <v>1</v>
      </c>
      <c r="C13" s="76"/>
      <c r="D13" s="76"/>
      <c r="E13" s="11"/>
      <c r="F13" s="11"/>
      <c r="G13" s="12">
        <f>I13+K13+M13</f>
        <v>0</v>
      </c>
      <c r="H13" s="11"/>
      <c r="I13" s="12">
        <f>IF((OR(F5="2026 Fall Quarter")), (VLOOKUP(I9,Data1!E25:F43, 2, FALSE)), IF((OR(F5="2025 Fall Quarter")), (VLOOKUP(I9, Data1!E25:G43, 3, FALSE)), 0))</f>
        <v>0</v>
      </c>
      <c r="J13" s="11"/>
      <c r="K13" s="12">
        <f>IF((OR(F5="2026 Fall Quarter")), (VLOOKUP(K9,Data1!E25:F43, 2, FALSE)), IF((OR(F5="2025 Fall Quarter")), (VLOOKUP(K9, Data1!E25:G43, 3, FALSE)), 0))</f>
        <v>0</v>
      </c>
      <c r="L13" s="12"/>
      <c r="M13" s="12">
        <f>IF((OR(F5="2026 Fall Quarter")), (VLOOKUP(M9,Data1!E25:F43, 2, FALSE)), IF((OR(F5="2025 Fall Quarter")), (VLOOKUP(M9, Data1!E25:G43, 3, FALSE)), 0))</f>
        <v>0</v>
      </c>
      <c r="N13" s="11"/>
    </row>
    <row r="14" spans="2:14" ht="21.75" customHeight="1" x14ac:dyDescent="0.25">
      <c r="B14" s="35" t="s">
        <v>0</v>
      </c>
    </row>
    <row r="15" spans="2:14" ht="21.75" customHeight="1" x14ac:dyDescent="0.25">
      <c r="B15" s="13" t="s">
        <v>2</v>
      </c>
      <c r="C15" s="11"/>
      <c r="D15" s="11"/>
      <c r="E15" s="11"/>
      <c r="F15" s="11"/>
      <c r="G15" s="12">
        <f>I15+K15+M15</f>
        <v>0</v>
      </c>
      <c r="H15" s="11"/>
      <c r="I15" s="12">
        <f>VLOOKUP(I9,Data1!E25:H43, 4, FALSE)</f>
        <v>0</v>
      </c>
      <c r="J15" s="11"/>
      <c r="K15" s="12">
        <f>VLOOKUP(K9, Data1!E25:H43, 4, FALSE)</f>
        <v>0</v>
      </c>
      <c r="L15" s="12"/>
      <c r="M15" s="12">
        <f>VLOOKUP(M9, Data1!E25:H43, 4, FALSE)</f>
        <v>0</v>
      </c>
      <c r="N15" s="11"/>
    </row>
    <row r="16" spans="2:14" ht="21.75" customHeight="1" x14ac:dyDescent="0.25">
      <c r="B16" s="39" t="s">
        <v>17</v>
      </c>
      <c r="G16" s="5">
        <f>I16+K16+M16</f>
        <v>0</v>
      </c>
      <c r="I16" s="5">
        <f>VLOOKUP(I9,Data1!E25:I43, 5, FALSE)</f>
        <v>0</v>
      </c>
      <c r="K16" s="5">
        <f>VLOOKUP(K9, Data1!E25:I43, 5, FALSE)</f>
        <v>0</v>
      </c>
      <c r="M16" s="5">
        <f>VLOOKUP(M9, Data1!A2:D22, 4, FALSE)</f>
        <v>0</v>
      </c>
    </row>
    <row r="17" spans="2:14" ht="21.75" customHeight="1" x14ac:dyDescent="0.25">
      <c r="B17" s="78" t="s">
        <v>56</v>
      </c>
      <c r="C17" s="78"/>
      <c r="D17" s="79"/>
      <c r="E17" s="31"/>
      <c r="F17" s="11"/>
      <c r="G17" s="30">
        <f>I17+K17+M17</f>
        <v>0</v>
      </c>
      <c r="H17" s="11"/>
      <c r="I17" s="30">
        <f>IF(AND(E17="Yes", I9&lt;&gt;"not enrolled"), (VLOOKUP(E17,Data1!A25:C26, 2, FALSE)), 0)</f>
        <v>0</v>
      </c>
      <c r="J17" s="11"/>
      <c r="K17" s="30">
        <v>0</v>
      </c>
      <c r="L17" s="30"/>
      <c r="M17" s="30">
        <f>IF(AND(E17="Yes", M9&lt;&gt;"not enrolled"), (VLOOKUP(E17,Data1!A25:C26, 2, FALSE)), 0)</f>
        <v>0</v>
      </c>
      <c r="N17" s="11"/>
    </row>
    <row r="18" spans="2:14" ht="21.75" customHeight="1" x14ac:dyDescent="0.25">
      <c r="B18" s="80" t="s">
        <v>64</v>
      </c>
      <c r="C18" s="80"/>
      <c r="D18" s="80"/>
      <c r="E18" s="60"/>
      <c r="F18" s="7"/>
      <c r="G18" s="32">
        <f>I18+K18+M18</f>
        <v>0</v>
      </c>
      <c r="H18" s="7"/>
      <c r="I18" s="62">
        <f>IF(AND(I9&lt;&gt;"select", I9&lt;&gt;"not enrolled",I9&lt;&gt;"4 credits",I9&lt;&gt;"5 credits",I9&lt;&gt;"6 credits",I9&lt;&gt;"7 credits"), 258, 0)</f>
        <v>0</v>
      </c>
      <c r="J18" s="7"/>
      <c r="K18" s="62">
        <f>IF(AND(K9&lt;&gt;"select", K9&lt;&gt;"not enrolled",K9&lt;&gt;"4 credits",K9&lt;&gt;"5 credits",K9&lt;&gt;"6 credits",K9&lt;&gt;"7 credits"), 258, 0)</f>
        <v>0</v>
      </c>
      <c r="L18" s="32"/>
      <c r="M18" s="62">
        <f>IF(AND(M9&lt;&gt;"select", M9&lt;&gt;"not enrolled",M9&lt;&gt;"4 credits",M9&lt;&gt;"5 credits",M9&lt;&gt;"6 credits",M9&lt;&gt;"7 credits"), 258, 0)</f>
        <v>0</v>
      </c>
      <c r="N18" s="7"/>
    </row>
    <row r="19" spans="2:14" ht="21.75" customHeight="1" x14ac:dyDescent="0.25">
      <c r="C19" s="8" t="s">
        <v>6</v>
      </c>
      <c r="G19" s="9">
        <f>SUM(G13, G15:G18)</f>
        <v>0</v>
      </c>
      <c r="I19" s="9">
        <f>SUM(I13,I15:I18)</f>
        <v>0</v>
      </c>
      <c r="K19" s="9">
        <f>SUM(K13,K15:K18)</f>
        <v>0</v>
      </c>
      <c r="L19" s="9"/>
      <c r="M19" s="9">
        <f>SUM(M13,M15:M18)</f>
        <v>0</v>
      </c>
    </row>
    <row r="20" spans="2:14" ht="24" customHeight="1" x14ac:dyDescent="0.25"/>
    <row r="21" spans="2:14" ht="15.75" thickBot="1" x14ac:dyDescent="0.3">
      <c r="B21" s="1" t="s">
        <v>11</v>
      </c>
      <c r="C21" s="2"/>
      <c r="D21" s="2"/>
      <c r="E21" s="2"/>
      <c r="F21" s="2"/>
      <c r="G21" s="4" t="s">
        <v>3</v>
      </c>
      <c r="H21" s="3"/>
      <c r="I21" s="4" t="s">
        <v>95</v>
      </c>
      <c r="J21" s="3"/>
      <c r="K21" s="4" t="s">
        <v>96</v>
      </c>
      <c r="L21" s="4"/>
      <c r="M21" s="4" t="s">
        <v>97</v>
      </c>
      <c r="N21" s="2"/>
    </row>
    <row r="22" spans="2:14" ht="21.75" customHeight="1" x14ac:dyDescent="0.25">
      <c r="B22" t="s">
        <v>16</v>
      </c>
      <c r="G22" s="16"/>
      <c r="I22" s="5">
        <f>IF((AND(I9&lt;&gt;"not enrolled", K9&lt;&gt;"not enrolled", M9&lt;&gt;"not enrolled")), (G22/3), IF((AND(I9&lt;&gt;"not enrolled", K9&lt;&gt;"not enrolled", M9="not enrolled")), (G22/2), IF((AND(I9&lt;&gt;"not enrolled", K9="not enrolled", M9="not enrolled")), (G22/1), 0)))</f>
        <v>0</v>
      </c>
      <c r="K22" s="5">
        <f>IF((AND(I9&lt;&gt;"not enrolled", K9&lt;&gt;"not enrolled", M9&lt;&gt;"not enrolled")), (G22/3), IF((AND(I9&lt;&gt;"not enrolled", K9&lt;&gt;"not enrolled", M9="not enrolled")), (G22/2), IF((AND(I9="not enrolled", K9&lt;&gt;"not enrolled", M9&lt;&gt;"not enrolled")), (G22/2), 0)))</f>
        <v>0</v>
      </c>
      <c r="M22" s="5">
        <f>IF((AND(I9&lt;&gt;"not enrolled", K9&lt;&gt;"not enrolled", M9&lt;&gt;"not enrolled")), (G22/3), IF((AND(I9="not enrolled", K9&lt;&gt;"not enrolled", M9&lt;&gt;"not enrolled")), (G22/2), IF((AND(I9="not enrolled", K9="not enrolled", M9&lt;&gt;"not enrolled")), (G22), 0)))</f>
        <v>0</v>
      </c>
    </row>
    <row r="23" spans="2:14" ht="21.75" customHeight="1" x14ac:dyDescent="0.25">
      <c r="B23" s="11" t="s">
        <v>8</v>
      </c>
      <c r="C23" s="11"/>
      <c r="D23" s="11"/>
      <c r="E23" s="11"/>
      <c r="F23" s="11"/>
      <c r="G23" s="17"/>
      <c r="H23" s="11"/>
      <c r="I23" s="12">
        <f>IF((AND(I9&lt;&gt;"not enrolled", K9&lt;&gt;"not enrolled", M9&lt;&gt;"not enrolled")), (G23/3), IF((AND(I9&lt;&gt;"not enrolled", K9&lt;&gt;"not enrolled", M9="not enrolled")), (G23/2), IF((AND(I9&lt;&gt;"not enrolled", K9="not enrolled", M9="not enrolled")), (G23/1), 0)))</f>
        <v>0</v>
      </c>
      <c r="J23" s="11"/>
      <c r="K23" s="12">
        <f>IF((AND(I9&lt;&gt;"not enrolled", K9&lt;&gt;"not enrolled", M9&lt;&gt;"not enrolled")), (G23/3), IF((AND(I9&lt;&gt;"not enrolled", K9&lt;&gt;"not enrolled", M9="not enrolled")), (G23/2), IF((AND(I9="not enrolled", K9&lt;&gt;"not enrolled", M9&lt;&gt;"not enrolled")), (G23/2), 0)))</f>
        <v>0</v>
      </c>
      <c r="L23" s="12"/>
      <c r="M23" s="12">
        <f>IF((AND(I9&lt;&gt;"not enrolled", K9&lt;&gt;"not enrolled", M9&lt;&gt;"not enrolled")), (G23/3), IF((AND(I9="not enrolled", K9&lt;&gt;"not enrolled", M9&lt;&gt;"not enrolled")), (G23/2), IF((AND(I9="not enrolled", K9="not enrolled", M9&lt;&gt;"not enrolled")), (G23), 0)))</f>
        <v>0</v>
      </c>
      <c r="N23" s="11"/>
    </row>
    <row r="24" spans="2:14" ht="21.75" customHeight="1" x14ac:dyDescent="0.25">
      <c r="B24" t="s">
        <v>65</v>
      </c>
      <c r="E24" s="18"/>
      <c r="G24" s="5">
        <f>SUM(I24,K24,M24)</f>
        <v>0</v>
      </c>
      <c r="I24" s="5">
        <f>IF((AND(I9&lt;&gt;"not enrolled", K9&lt;&gt;"not enrolled", M9&lt;&gt;"not enrolled")), ROUND(((E24-(E24*0.01057))/3),0), IF((AND(I9&lt;&gt;"not enrolled", K9&lt;&gt;"not enrolled", M9="not enrolled")), ROUND(((E24-(E24*0.01057))/2),0), IF((AND(I9&lt;&gt;"not enrolled", K9="not enrolled", M9="not enrolled")), ROUND(((E24-(E24*0.01057))/1),0), 0)))</f>
        <v>0</v>
      </c>
      <c r="K24" s="5">
        <f>IF((AND(I9&lt;&gt;"not enrolled", K9&lt;&gt;"not enrolled", M9&lt;&gt;"not enrolled")), ROUND(((E24-(E24*0.01057))/3),0), IF((AND(I9&lt;&gt;"not enrolled", K9&lt;&gt;"not enrolled", M9="not enrolled")), ROUND(((E24-(E24*0.01057))/2),0), IF((AND(I9="not enrolled", K9&lt;&gt;"not enrolled", M9&lt;&gt;"not enrolled")), ROUND(((E24-(E24*0.01057))/2),0), 0)))</f>
        <v>0</v>
      </c>
      <c r="M24" s="5">
        <f>IF((AND(I9&lt;&gt;"not enrolled", K9&lt;&gt;"not enrolled", M9&lt;&gt;"not enrolled")), ROUND(((E24-(E24*0.01057))/3),0), IF((AND(I9="not enrolled", K9&lt;&gt;"not enrolled", M9&lt;&gt;"not enrolled")), ROUND(((E24-(E24*0.01057))/2),0), IF((AND(I9="not enrolled", K9="not enrolled", M9&lt;&gt;"not enrolled")), ROUND(((E24-(E24*0.01057))/1),0), 0)))</f>
        <v>0</v>
      </c>
    </row>
    <row r="25" spans="2:14" ht="21.75" customHeight="1" x14ac:dyDescent="0.25">
      <c r="B25" s="11" t="s">
        <v>66</v>
      </c>
      <c r="C25" s="11"/>
      <c r="D25" s="11"/>
      <c r="E25" s="18"/>
      <c r="F25" s="11"/>
      <c r="G25" s="12">
        <f>SUM(I25,K25,M25)</f>
        <v>0</v>
      </c>
      <c r="H25" s="11"/>
      <c r="I25" s="12">
        <f>IF((AND(I9&lt;&gt;"not enrolled", K9&lt;&gt;"not enrolled", M9&lt;&gt;"not enrolled")), ROUND(((E25-(E25*0.04228))/3),0), IF((AND(I9&lt;&gt;"not enrolled", K9&lt;&gt;"not enrolled", M9="not enrolled")), ROUND(((E25-(E25*0.04228))/2),0), IF((AND(I9&lt;&gt;"not enrolled", K9="not enrolled", M9="not enrolled")), ROUND(((E25-(E25*0.04228))/1),0), 0)))</f>
        <v>0</v>
      </c>
      <c r="J25" s="11"/>
      <c r="K25" s="12">
        <f>IF((AND(I9&lt;&gt;"not enrolled", K9&lt;&gt;"not enrolled", M9&lt;&gt;"not enrolled")), ROUND(((E25-(E25*0.04228))/3),0), IF((AND(I9&lt;&gt;"not enrolled", K9&lt;&gt;"not enrolled", M9="not enrolled")), ROUND(((E25-(E25*0.04228))/2),0), IF((AND(I9="not enrolled", K9&lt;&gt;"not enrolled", M9&lt;&gt;"not enrolled")), ROUND(((E25-(E25*0.04228))/2),0), 0)))</f>
        <v>0</v>
      </c>
      <c r="L25" s="12"/>
      <c r="M25" s="12">
        <f>IF((AND(I9&lt;&gt;"not enrolled", K9&lt;&gt;"not enrolled", M9&lt;&gt;"not enrolled")), ROUND(((E25-(E25*0.04228))/3),0), IF((AND(I9="not enrolled", K9&lt;&gt;"not enrolled", M9&lt;&gt;"not enrolled")), ROUND(((E25-(E25*0.04228))/2),0), IF((AND(I9="not enrolled", K9="not enrolled", M9&lt;&gt;"not enrolled")), ROUND(((E25-(E25*0.04228))/1),0), 0)))</f>
        <v>0</v>
      </c>
      <c r="N25" s="11"/>
    </row>
    <row r="26" spans="2:14" ht="21.75" customHeight="1" x14ac:dyDescent="0.25">
      <c r="B26" s="71" t="s">
        <v>22</v>
      </c>
      <c r="C26" s="71"/>
      <c r="D26" s="71"/>
      <c r="E26" s="71"/>
      <c r="G26" s="17"/>
      <c r="I26" s="5">
        <f>IF((AND(I9&lt;&gt;"not enrolled", K9&lt;&gt;"not enrolled", M9&lt;&gt;"not enrolled")), (G26/3), IF((AND(I9&lt;&gt;"not enrolled", K9&lt;&gt;"not enrolled", M9="not enrolled")), (G26/2), IF((AND(I9&lt;&gt;"not enrolled", K9="not enrolled", M9="not enrolled")), (G26/1), 0)))</f>
        <v>0</v>
      </c>
      <c r="K26" s="5">
        <f>IF((AND(I9&lt;&gt;"not enrolled", K9&lt;&gt;"not enrolled", M9&lt;&gt;"not enrolled")), (G26/3), IF((AND(I9&lt;&gt;"not enrolled", K9&lt;&gt;"not enrolled", M9="not enrolled")), (G26/2), IF((AND(I9="not enrolled", K9&lt;&gt;"not enrolled", M9&lt;&gt;"not enrolled")), (G26/2), 0)))</f>
        <v>0</v>
      </c>
      <c r="M26" s="5">
        <f>IF((AND(I9&lt;&gt;"not enrolled", K9&lt;&gt;"not enrolled", M9&lt;&gt;"not enrolled")), (G26/3), IF((AND(I9="not enrolled", K9&lt;&gt;"not enrolled", M9&lt;&gt;"not enrolled")), (G26/2), IF((AND(I9="not enrolled", K9="not enrolled", M9&lt;&gt;"not enrolled")), (G26), 0)))</f>
        <v>0</v>
      </c>
    </row>
    <row r="27" spans="2:14" ht="21.75" customHeight="1" x14ac:dyDescent="0.25">
      <c r="B27" s="77" t="s">
        <v>23</v>
      </c>
      <c r="C27" s="77"/>
      <c r="D27" s="77"/>
      <c r="E27" s="77"/>
      <c r="F27" s="77"/>
      <c r="G27" s="28">
        <f>I27+K27+M27</f>
        <v>0</v>
      </c>
      <c r="H27" s="27"/>
      <c r="I27" s="19"/>
      <c r="J27" s="27"/>
      <c r="K27" s="19"/>
      <c r="L27" s="33"/>
      <c r="M27" s="24"/>
      <c r="N27" s="27"/>
    </row>
    <row r="28" spans="2:14" ht="21.75" customHeight="1" x14ac:dyDescent="0.25">
      <c r="C28" s="8" t="s">
        <v>10</v>
      </c>
      <c r="G28" s="5">
        <f>SUM(G22:G27)</f>
        <v>0</v>
      </c>
      <c r="I28" s="5">
        <f>SUM(I22:I27)</f>
        <v>0</v>
      </c>
      <c r="K28" s="5">
        <f>SUM(K22:K26,K27)</f>
        <v>0</v>
      </c>
      <c r="M28" s="5">
        <f>SUM(M22:M26,M27)</f>
        <v>0</v>
      </c>
    </row>
    <row r="29" spans="2:14" ht="15.75" thickBot="1" x14ac:dyDescent="0.3"/>
    <row r="30" spans="2:14" ht="21.75" customHeight="1" thickTop="1" thickBot="1" x14ac:dyDescent="0.35">
      <c r="B30" s="15" t="s">
        <v>12</v>
      </c>
      <c r="C30" s="14"/>
      <c r="D30" s="14"/>
      <c r="E30" s="14"/>
      <c r="F30" s="14"/>
      <c r="G30" s="25">
        <f>G19-G28</f>
        <v>0</v>
      </c>
      <c r="H30" s="26"/>
      <c r="I30" s="25">
        <f>I19-I28</f>
        <v>0</v>
      </c>
      <c r="J30" s="26"/>
      <c r="K30" s="25">
        <f>K19-K28</f>
        <v>0</v>
      </c>
      <c r="L30" s="25"/>
      <c r="M30" s="25">
        <f>M19-M28</f>
        <v>0</v>
      </c>
      <c r="N30" s="14"/>
    </row>
    <row r="31" spans="2:14" ht="15.75" thickTop="1" x14ac:dyDescent="0.25"/>
    <row r="32" spans="2:14" x14ac:dyDescent="0.25">
      <c r="B32" s="8" t="s">
        <v>13</v>
      </c>
    </row>
    <row r="33" spans="1:15" ht="21.75" customHeight="1" x14ac:dyDescent="0.25">
      <c r="A33" s="51">
        <v>1</v>
      </c>
      <c r="B33" s="72" t="str">
        <f>IF((OR(F5="2024 Fall Quarter")), Data1!P7, IF((OR(F5="2023 Fall Quarter")), Data1!P6, "Please choose a starting term for your cohort above."))</f>
        <v>Please choose a starting term for your cohort above.</v>
      </c>
      <c r="C33" s="72"/>
      <c r="D33" s="72"/>
      <c r="E33" s="72"/>
      <c r="F33" s="72"/>
      <c r="G33" s="72"/>
      <c r="H33" s="72"/>
      <c r="I33" s="72"/>
      <c r="J33" s="72"/>
      <c r="K33" s="72"/>
      <c r="L33" s="72"/>
      <c r="M33" s="72"/>
      <c r="N33" s="72"/>
      <c r="O33" s="72"/>
    </row>
    <row r="34" spans="1:15" ht="17.45" customHeight="1" x14ac:dyDescent="0.25">
      <c r="A34" s="51">
        <v>2</v>
      </c>
      <c r="B34" s="71" t="s">
        <v>102</v>
      </c>
      <c r="C34" s="71"/>
      <c r="D34" s="71"/>
      <c r="E34" s="71"/>
      <c r="F34" s="71"/>
      <c r="G34" s="71"/>
      <c r="H34" s="71"/>
      <c r="I34" s="71"/>
      <c r="J34" s="71"/>
      <c r="K34" s="71"/>
      <c r="L34" s="71"/>
      <c r="M34" s="71"/>
      <c r="N34" s="71"/>
    </row>
    <row r="35" spans="1:15" ht="30" customHeight="1" x14ac:dyDescent="0.25">
      <c r="A35" s="61">
        <v>3</v>
      </c>
      <c r="B35" s="72" t="s">
        <v>103</v>
      </c>
      <c r="C35" s="72"/>
      <c r="D35" s="72"/>
      <c r="E35" s="72"/>
      <c r="F35" s="72"/>
      <c r="G35" s="72"/>
      <c r="H35" s="72"/>
      <c r="I35" s="72"/>
      <c r="J35" s="72"/>
      <c r="K35" s="72"/>
      <c r="L35" s="72"/>
      <c r="M35" s="72"/>
      <c r="N35" s="72"/>
    </row>
    <row r="36" spans="1:15" ht="31.15" customHeight="1" x14ac:dyDescent="0.25">
      <c r="A36" s="61">
        <v>4</v>
      </c>
      <c r="B36" s="72" t="s">
        <v>67</v>
      </c>
      <c r="C36" s="72"/>
      <c r="D36" s="72"/>
      <c r="E36" s="72"/>
      <c r="F36" s="72"/>
      <c r="G36" s="72"/>
      <c r="H36" s="72"/>
      <c r="I36" s="72"/>
      <c r="J36" s="72"/>
      <c r="K36" s="72"/>
      <c r="L36" s="72"/>
      <c r="M36" s="72"/>
      <c r="N36" s="72"/>
    </row>
    <row r="37" spans="1:15" ht="62.25" customHeight="1" x14ac:dyDescent="0.25">
      <c r="A37" s="61">
        <v>5</v>
      </c>
      <c r="B37" s="72" t="s">
        <v>117</v>
      </c>
      <c r="C37" s="72"/>
      <c r="D37" s="72"/>
      <c r="E37" s="72"/>
      <c r="F37" s="72"/>
      <c r="G37" s="72"/>
      <c r="H37" s="72"/>
      <c r="I37" s="72"/>
      <c r="J37" s="72"/>
      <c r="K37" s="72"/>
      <c r="L37" s="72"/>
      <c r="M37" s="72"/>
      <c r="N37" s="72"/>
    </row>
    <row r="38" spans="1:15" ht="21.75" customHeight="1" x14ac:dyDescent="0.25"/>
    <row r="40" spans="1:15" x14ac:dyDescent="0.25">
      <c r="B40" s="67" t="s">
        <v>14</v>
      </c>
      <c r="C40" s="67"/>
      <c r="D40" s="67"/>
      <c r="E40" s="67"/>
      <c r="F40" s="67"/>
      <c r="G40" s="67"/>
      <c r="H40" s="67"/>
      <c r="I40" s="67"/>
      <c r="J40" s="67"/>
      <c r="K40" s="67"/>
      <c r="L40" s="67"/>
      <c r="M40" s="67"/>
      <c r="N40" s="67"/>
    </row>
  </sheetData>
  <sheetProtection algorithmName="SHA-512" hashValue="wRFHBei5SdJAEmPvH49tEX2Htyv0Fdn1dTBplATOPmLGkeuKEgmaQQ/l6tohpY5hZ4lNTYXHyStJ3g7+uDwgPQ==" saltValue="N6j0gEnYc8RXKQSTVl1xTg==" spinCount="100000" sheet="1" selectLockedCells="1"/>
  <mergeCells count="14">
    <mergeCell ref="B37:N37"/>
    <mergeCell ref="B40:N40"/>
    <mergeCell ref="B26:E26"/>
    <mergeCell ref="F2:N2"/>
    <mergeCell ref="B7:N7"/>
    <mergeCell ref="C13:D13"/>
    <mergeCell ref="B17:D17"/>
    <mergeCell ref="B18:D18"/>
    <mergeCell ref="F5:H5"/>
    <mergeCell ref="B35:N35"/>
    <mergeCell ref="B36:N36"/>
    <mergeCell ref="B27:F27"/>
    <mergeCell ref="B33:O33"/>
    <mergeCell ref="B34:N34"/>
  </mergeCells>
  <hyperlinks>
    <hyperlink ref="B17" r:id="rId1" display="Will you enroll in DU's health insurance plan?" xr:uid="{00000000-0004-0000-0300-000000000000}"/>
    <hyperlink ref="B18" r:id="rId2" display="Will you use DU Health &amp; Counseling Services? " xr:uid="{00000000-0004-0000-03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Data1!$A$25:$A$26</xm:f>
          </x14:formula1>
          <xm:sqref>E17</xm:sqref>
        </x14:dataValidation>
        <x14:dataValidation type="list" allowBlank="1" showInputMessage="1" showErrorMessage="1" xr:uid="{00000000-0002-0000-0300-000001000000}">
          <x14:formula1>
            <xm:f>Data1!$E$25:$E$43</xm:f>
          </x14:formula1>
          <xm:sqref>M9 I9 K9</xm:sqref>
        </x14:dataValidation>
        <x14:dataValidation type="list" allowBlank="1" showInputMessage="1" showErrorMessage="1" xr:uid="{7ED411FF-D562-4F00-9FAC-7C1B46B1C88E}">
          <x14:formula1>
            <xm:f>Data1!$A$33:$A$34</xm:f>
          </x14:formula1>
          <xm:sqref>F5:H5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O35"/>
  <sheetViews>
    <sheetView showGridLines="0" showRowColHeaders="0" showRuler="0" zoomScaleNormal="100" workbookViewId="0">
      <selection activeCell="G4" sqref="G4:I4"/>
    </sheetView>
  </sheetViews>
  <sheetFormatPr defaultColWidth="8.85546875" defaultRowHeight="15" x14ac:dyDescent="0.25"/>
  <cols>
    <col min="1" max="1" width="4.140625" customWidth="1"/>
    <col min="4" max="4" width="26.140625" customWidth="1"/>
    <col min="5" max="5" width="13.85546875" customWidth="1"/>
    <col min="6" max="6" width="4.28515625" customWidth="1"/>
    <col min="7" max="7" width="15" style="5" customWidth="1"/>
    <col min="8" max="8" width="2.85546875" customWidth="1"/>
    <col min="9" max="9" width="15" style="5" customWidth="1"/>
    <col min="10" max="10" width="2.85546875" customWidth="1"/>
    <col min="11" max="11" width="15" style="5" customWidth="1"/>
    <col min="12" max="12" width="2.85546875" style="5" customWidth="1"/>
    <col min="13" max="13" width="15" style="5" customWidth="1"/>
    <col min="14" max="14" width="2.85546875" style="5" customWidth="1"/>
    <col min="15" max="15" width="15" style="5" customWidth="1"/>
  </cols>
  <sheetData>
    <row r="1" spans="2:15" ht="17.25" customHeight="1" x14ac:dyDescent="0.25"/>
    <row r="2" spans="2:15" ht="47.25" customHeight="1" x14ac:dyDescent="0.35">
      <c r="G2" s="68" t="s">
        <v>99</v>
      </c>
      <c r="H2" s="68"/>
      <c r="I2" s="68"/>
      <c r="J2" s="68"/>
      <c r="K2" s="68"/>
      <c r="L2" s="68"/>
      <c r="M2" s="68"/>
      <c r="N2" s="68"/>
      <c r="O2" s="68"/>
    </row>
    <row r="3" spans="2:15" ht="26.25" customHeight="1" x14ac:dyDescent="0.25">
      <c r="B3" s="20"/>
      <c r="C3" s="20"/>
      <c r="D3" s="20"/>
      <c r="E3" s="20"/>
      <c r="F3" s="20"/>
      <c r="G3" s="21"/>
      <c r="H3" s="22"/>
      <c r="I3" s="22"/>
      <c r="J3" s="22"/>
      <c r="K3" s="22"/>
      <c r="L3" s="22"/>
      <c r="M3" s="22"/>
      <c r="N3" s="22"/>
      <c r="O3" s="22"/>
    </row>
    <row r="4" spans="2:15" ht="21" customHeight="1" x14ac:dyDescent="0.3">
      <c r="C4" s="6" t="s">
        <v>20</v>
      </c>
      <c r="D4" s="29"/>
      <c r="E4" s="29"/>
      <c r="G4" s="83" t="s">
        <v>101</v>
      </c>
      <c r="H4" s="84"/>
      <c r="I4" s="85"/>
    </row>
    <row r="5" spans="2:15" ht="15" customHeight="1" x14ac:dyDescent="0.25">
      <c r="I5" s="57" t="s">
        <v>91</v>
      </c>
      <c r="K5" s="57" t="s">
        <v>92</v>
      </c>
      <c r="L5" s="34"/>
      <c r="M5" s="57" t="s">
        <v>93</v>
      </c>
      <c r="N5" s="34"/>
      <c r="O5" s="57" t="s">
        <v>94</v>
      </c>
    </row>
    <row r="6" spans="2:15" ht="18" customHeight="1" x14ac:dyDescent="0.3">
      <c r="C6" s="6" t="s">
        <v>44</v>
      </c>
      <c r="E6" s="29"/>
      <c r="F6" s="29"/>
      <c r="G6" s="29"/>
      <c r="H6" s="29"/>
      <c r="I6" s="54" t="s">
        <v>63</v>
      </c>
      <c r="K6" s="55" t="s">
        <v>63</v>
      </c>
      <c r="L6"/>
      <c r="M6" s="56" t="s">
        <v>63</v>
      </c>
      <c r="N6"/>
      <c r="O6" s="56" t="s">
        <v>63</v>
      </c>
    </row>
    <row r="7" spans="2:15" ht="18.75" customHeight="1" x14ac:dyDescent="0.25"/>
    <row r="8" spans="2:15" ht="15.75" thickBot="1" x14ac:dyDescent="0.3">
      <c r="B8" s="1" t="s">
        <v>7</v>
      </c>
      <c r="C8" s="2"/>
      <c r="D8" s="2"/>
      <c r="E8" s="2"/>
      <c r="F8" s="2"/>
      <c r="G8" s="4" t="s">
        <v>3</v>
      </c>
      <c r="H8" s="3"/>
      <c r="I8" s="4" t="s">
        <v>95</v>
      </c>
      <c r="J8" s="3"/>
      <c r="K8" s="4" t="s">
        <v>96</v>
      </c>
      <c r="L8" s="4"/>
      <c r="M8" s="4" t="s">
        <v>97</v>
      </c>
      <c r="N8" s="4"/>
      <c r="O8" s="4" t="s">
        <v>98</v>
      </c>
    </row>
    <row r="9" spans="2:15" ht="9" customHeight="1" x14ac:dyDescent="0.25"/>
    <row r="10" spans="2:15" ht="21.75" customHeight="1" x14ac:dyDescent="0.25">
      <c r="B10" s="10" t="s">
        <v>1</v>
      </c>
      <c r="C10" s="76"/>
      <c r="D10" s="76"/>
      <c r="E10" s="11"/>
      <c r="F10" s="11"/>
      <c r="G10" s="12">
        <f>I10+K10+M10+O10</f>
        <v>0</v>
      </c>
      <c r="H10" s="11"/>
      <c r="I10" s="12">
        <f>IF((OR(G4="2026 Fall Quarter")), (VLOOKUP(I6,Data1!K25:N43, 2, FALSE)), IF((OR(G4="2025 Fall Quarter")), (VLOOKUP(I6, Data1!K25:N43, 4, FALSE)), 0))</f>
        <v>0</v>
      </c>
      <c r="J10" s="11"/>
      <c r="K10" s="12">
        <f>IF((OR(G4="2026 Fall Quarter")), (VLOOKUP(K6,Data1!K25:N43, 2, FALSE)), IF((OR(G4="2025 Fall Quarter")), (VLOOKUP(K6, Data1!K25:N43, 4, FALSE)), 0))</f>
        <v>0</v>
      </c>
      <c r="L10" s="12"/>
      <c r="M10" s="12">
        <f>IF((OR(G4="2026 Fall Quarter")), (VLOOKUP(M6,Data1!K25:N43, 2, FALSE)), IF((OR(G4="2025 Fall Quarter")), (VLOOKUP(M6, Data1!K25:N43, 4, FALSE)), 0))</f>
        <v>0</v>
      </c>
      <c r="N10" s="12"/>
      <c r="O10" s="12">
        <f>IF((OR(G4="2026 Fall Quarter")), (VLOOKUP(O6,Data1!K25:N43, 2, FALSE)), IF((OR(G4="2025 Fall Quarter")), (VLOOKUP(O6, Data1!K25:N43, 4, FALSE)), 0))</f>
        <v>0</v>
      </c>
    </row>
    <row r="11" spans="2:15" ht="21.75" customHeight="1" x14ac:dyDescent="0.25">
      <c r="B11" s="35" t="s">
        <v>2</v>
      </c>
      <c r="G11" s="36">
        <f>I11+K11+M11+O11</f>
        <v>0</v>
      </c>
      <c r="I11" s="36">
        <f>VLOOKUP(I6,Data1!K25:M43,3,FALSE)</f>
        <v>0</v>
      </c>
      <c r="K11" s="36">
        <f>VLOOKUP(K6,Data1!K25:M43,3,FALSE)</f>
        <v>0</v>
      </c>
      <c r="L11" s="36"/>
      <c r="M11" s="36">
        <f>VLOOKUP(M6,Data1!K25:M43,3,FALSE)</f>
        <v>0</v>
      </c>
      <c r="N11" s="36"/>
      <c r="O11" s="36">
        <f>VLOOKUP(O6,Data1!K25:M43,3,FALSE)</f>
        <v>0</v>
      </c>
    </row>
    <row r="12" spans="2:15" ht="21.75" customHeight="1" x14ac:dyDescent="0.25">
      <c r="B12" s="78" t="s">
        <v>56</v>
      </c>
      <c r="C12" s="78"/>
      <c r="D12" s="79"/>
      <c r="E12" s="31"/>
      <c r="F12" s="11"/>
      <c r="G12" s="30">
        <f>I12+K12+M12+O12</f>
        <v>0</v>
      </c>
      <c r="H12" s="11"/>
      <c r="I12" s="30">
        <f>IF(AND(I6&lt;&gt;"not enrolled", E12="Yes"), (VLOOKUP(E12, Data1!A25:C26, 2, FALSE)), 0)</f>
        <v>0</v>
      </c>
      <c r="J12" s="11"/>
      <c r="K12" s="30">
        <v>0</v>
      </c>
      <c r="L12" s="30"/>
      <c r="M12" s="30">
        <f>IF(AND(M6&lt;&gt;"not enrolled", E12="Yes"), (VLOOKUP(E12, Data1!A25:C26, 2, FALSE)), 0)</f>
        <v>0</v>
      </c>
      <c r="N12" s="11"/>
      <c r="O12" s="37">
        <v>0</v>
      </c>
    </row>
    <row r="13" spans="2:15" ht="21.75" customHeight="1" x14ac:dyDescent="0.25">
      <c r="B13" s="80" t="s">
        <v>64</v>
      </c>
      <c r="C13" s="80"/>
      <c r="D13" s="80"/>
      <c r="E13" s="60"/>
      <c r="F13" s="7"/>
      <c r="G13" s="32">
        <f>I13+K13+M13+O13</f>
        <v>0</v>
      </c>
      <c r="H13" s="7"/>
      <c r="I13" s="62">
        <f>IF(AND(I6&lt;&gt;"select", I6&lt;&gt;"not enrolled",I6&lt;&gt;"4 credits",I6&lt;&gt;"5 credits",I6&lt;&gt;"6 credits",I6&lt;&gt;"7 credits"), 258, 0)</f>
        <v>0</v>
      </c>
      <c r="J13" s="7"/>
      <c r="K13" s="62">
        <f>IF(AND(K6&lt;&gt;"select", K6&lt;&gt;"not enrolled",K6&lt;&gt;"4 credits",K6&lt;&gt;"5 credits",K6&lt;&gt;"6 credits",K6&lt;&gt;"7 credits"), 258, 0)</f>
        <v>0</v>
      </c>
      <c r="L13" s="32"/>
      <c r="M13" s="62">
        <f>IF(AND(M6&lt;&gt;"select", M6&lt;&gt;"not enrolled",M6&lt;&gt;"4 credits",M6&lt;&gt;"5 credits",M6&lt;&gt;"6 credits",M6&lt;&gt;"7 credits"), 258, 0)</f>
        <v>0</v>
      </c>
      <c r="N13" s="7"/>
      <c r="O13" s="63">
        <f>IF(AND(O6&lt;&gt;"select", O6&lt;&gt;"not enrolled",O6&lt;&gt;"4 credits",O6&lt;&gt;"5 credits",O6&lt;&gt;"6 credits",O6&lt;&gt;"7 credits"), 258, 0)</f>
        <v>0</v>
      </c>
    </row>
    <row r="14" spans="2:15" ht="21.75" customHeight="1" x14ac:dyDescent="0.25">
      <c r="C14" s="8" t="s">
        <v>6</v>
      </c>
      <c r="G14" s="9">
        <f>SUM(G10:G13)</f>
        <v>0</v>
      </c>
      <c r="I14" s="9">
        <f>SUM(I10:I13)</f>
        <v>0</v>
      </c>
      <c r="K14" s="9">
        <f>SUM(K10:K13)</f>
        <v>0</v>
      </c>
      <c r="L14" s="9"/>
      <c r="M14" s="9">
        <f>SUM(M10:M13)</f>
        <v>0</v>
      </c>
      <c r="N14" s="9"/>
      <c r="O14" s="9">
        <f>SUM(O10:O13)</f>
        <v>0</v>
      </c>
    </row>
    <row r="15" spans="2:15" ht="24" customHeight="1" x14ac:dyDescent="0.25"/>
    <row r="16" spans="2:15" ht="15.75" thickBot="1" x14ac:dyDescent="0.3">
      <c r="B16" s="1" t="s">
        <v>11</v>
      </c>
      <c r="C16" s="2"/>
      <c r="D16" s="2"/>
      <c r="E16" s="2"/>
      <c r="F16" s="2"/>
      <c r="G16" s="4" t="s">
        <v>3</v>
      </c>
      <c r="H16" s="3"/>
      <c r="I16" s="4" t="s">
        <v>95</v>
      </c>
      <c r="J16" s="3"/>
      <c r="K16" s="4" t="s">
        <v>96</v>
      </c>
      <c r="L16" s="4"/>
      <c r="M16" s="4" t="s">
        <v>97</v>
      </c>
      <c r="N16" s="4"/>
      <c r="O16" s="4" t="s">
        <v>98</v>
      </c>
    </row>
    <row r="17" spans="2:15" ht="21.75" customHeight="1" x14ac:dyDescent="0.25">
      <c r="B17" t="s">
        <v>16</v>
      </c>
      <c r="G17" s="16"/>
      <c r="I17" s="5">
        <f>IF((AND(I6&lt;&gt;"not enrolled",K6&lt;&gt;"not enrolled",M6&lt;&gt;"not enrolled",O6&lt;&gt;"not enrolled")),(G17/4), IF((AND(I6&lt;&gt;"not enrolled",K6&lt;&gt;"not enrolled",M6&lt;&gt;"not enrolled",O6="not enrolled")),(G17/3), IF((AND(I6&lt;&gt;"not enrolled",K6&lt;&gt;"not enrolled",M6="not enrolled",O6="not enrolled")),(G17/2), IF((AND(I6&lt;&gt;"not enrolled",K6="not enrolled",M6="not enrolled",O6="not enrolled")),(G17/1), 0))))</f>
        <v>0</v>
      </c>
      <c r="K17" s="5">
        <f>IF((AND(I6&lt;&gt;"not enrolled",K6&lt;&gt;"not enrolled",M6&lt;&gt;"not enrolled",O6&lt;&gt;"not enrolled")),(G17/4), IF((AND(I6&lt;&gt;"not enrolled",K6&lt;&gt;"not enrolled",M6&lt;&gt;"not enrolled",O6="not enrolled")),(G17/3), IF((AND(I6="not enrolled",K6&lt;&gt;"not enrolled",M6&lt;&gt;"not enrolled",O6&lt;&gt;"not enrolled")),(G17/3), IF((AND(I6&lt;&gt;"not enrolled",K6&lt;&gt;"not enrolled",M6="not enrolled",O6="not enrolled")),(G17/2), 0))))</f>
        <v>0</v>
      </c>
      <c r="M17" s="5">
        <f>IF((AND(I6&lt;&gt;"not enrolled",K6&lt;&gt;"not enrolled",M6&lt;&gt;"not enrolled",O6&lt;&gt;"not enrolled")),(G17/4), IF((AND(I6&lt;&gt;"not enrolled",K6&lt;&gt;"not enrolled",M6&lt;&gt;"not enrolled",O6="not enrolled")),(G17/3), IF((AND(I6="not enrolled",K6&lt;&gt;"not enrolled",M6&lt;&gt;"not enrolled",O6&lt;&gt;"not enrolled")),(G17/3), IF((AND(I6="not enrolled",K6="not enrolled",M6&lt;&gt;"not enrolled",O6&lt;&gt;"not enrolled")),(G17/2), 0))))</f>
        <v>0</v>
      </c>
      <c r="O17" s="5">
        <f>IF((AND(I6&lt;&gt;"not enrolled",K6&lt;&gt;"not enrolled",M6&lt;&gt;"not enrolled",O6&lt;&gt;"not enrolled")),(G17/4), IF((AND(I6="not enrolled",K6&lt;&gt;"not enrolled",M6&lt;&gt;"not enrolled",O6&lt;&gt;"not enrolled")),(G17/3), IF((AND(I6="not enrolled",K6="not enrolled",M6&lt;&gt;"not enrolled",O6&lt;&gt;"not enrolled")),(G17/2),  IF((AND(I6="not enrolled",K6="not enrolled",M6="not enrolled",O6&lt;&gt;"not enrolled")),(G17), 0))))</f>
        <v>0</v>
      </c>
    </row>
    <row r="18" spans="2:15" ht="21.75" customHeight="1" x14ac:dyDescent="0.25">
      <c r="B18" s="11" t="s">
        <v>8</v>
      </c>
      <c r="C18" s="11"/>
      <c r="D18" s="11"/>
      <c r="E18" s="11"/>
      <c r="F18" s="11"/>
      <c r="G18" s="17"/>
      <c r="H18" s="11"/>
      <c r="I18" s="12">
        <f>IF((AND(I6&lt;&gt;"not enrolled",K6&lt;&gt;"not enrolled",M6&lt;&gt;"not enrolled",O6&lt;&gt;"not enrolled")),(G18/4), IF((AND(I6&lt;&gt;"not enrolled",K6&lt;&gt;"not enrolled",M6&lt;&gt;"not enrolled",O6="not enrolled")),(G18/3), IF((AND(I6&lt;&gt;"not enrolled",K6&lt;&gt;"not enrolled",M6="not enrolled",O6="not enrolled")),(G18/2), IF((AND(I6&lt;&gt;"not enrolled",K6="not enrolled",M6="not enrolled",O6="not enrolled")),(G18/1), 0))))</f>
        <v>0</v>
      </c>
      <c r="J18" s="11"/>
      <c r="K18" s="12">
        <f>IF((AND(I6&lt;&gt;"not enrolled",K6&lt;&gt;"not enrolled",M6&lt;&gt;"not enrolled",O6&lt;&gt;"not enrolled")),(G18/4), IF((AND(I6&lt;&gt;"not enrolled",K6&lt;&gt;"not enrolled",M6&lt;&gt;"not enrolled",O6="not enrolled")),(G18/3), IF((AND(I6="not enrolled",K6&lt;&gt;"not enrolled",M6&lt;&gt;"not enrolled",O6&lt;&gt;"not enrolled")),(G18/3), IF((AND(I6&lt;&gt;"not enrolled",K6&lt;&gt;"not enrolled",M6="not enrolled",O6="not enrolled")),(G18/2), 0))))</f>
        <v>0</v>
      </c>
      <c r="L18" s="12"/>
      <c r="M18" s="12">
        <f>IF((AND(I6&lt;&gt;"not enrolled",K6&lt;&gt;"not enrolled",M6&lt;&gt;"not enrolled",O6&lt;&gt;"not enrolled")),(G18/4), IF((AND(I6&lt;&gt;"not enrolled",K6&lt;&gt;"not enrolled",M6&lt;&gt;"not enrolled",O6="not enrolled")),(G18/3), IF((AND(I6="not enrolled",K6&lt;&gt;"not enrolled",M6&lt;&gt;"not enrolled",O6&lt;&gt;"not enrolled")),(G18/3), IF((AND(I6="not enrolled",K6="not enrolled",M6&lt;&gt;"not enrolled",O6&lt;&gt;"not enrolled")),(G18/2), 0))))</f>
        <v>0</v>
      </c>
      <c r="N18" s="12"/>
      <c r="O18" s="12">
        <f>IF((AND(I6&lt;&gt;"not enrolled",K6&lt;&gt;"not enrolled",M6&lt;&gt;"not enrolled",O6&lt;&gt;"not enrolled")),(G18/4), IF((AND(I6="not enrolled",K6&lt;&gt;"not enrolled",M6&lt;&gt;"not enrolled",O6&lt;&gt;"not enrolled")),(G18/3), IF((AND(I6="not enrolled",K6="not enrolled",M6&lt;&gt;"not enrolled",O6&lt;&gt;"not enrolled")),(G18/2),  IF((AND(I6="not enrolled",K6="not enrolled",M6="not enrolled",O6&lt;&gt;"not enrolled")),(G18), 0))))</f>
        <v>0</v>
      </c>
    </row>
    <row r="19" spans="2:15" ht="21.75" customHeight="1" x14ac:dyDescent="0.25">
      <c r="B19" t="s">
        <v>65</v>
      </c>
      <c r="E19" s="18"/>
      <c r="G19" s="5">
        <f>SUM(I19,K19,M19,O19)</f>
        <v>0</v>
      </c>
      <c r="I19" s="5">
        <f>IF((AND(I6&lt;&gt;"not enrolled",K6&lt;&gt;"not enrolled",M6&lt;&gt;"not enrolled",O6&lt;&gt;"not enrolled")), ROUND(((E19-(E19*0.01057))/4),0), IF((AND(I6&lt;&gt;"not enrolled",K6&lt;&gt;"not enrolled",M6&lt;&gt;"not enrolled",O6="not enrolled")),ROUND(((E19-(E19*0.01057))/3),0), IF((AND(I6&lt;&gt;"not enrolled",K6&lt;&gt;"not enrolled",M6="not enrolled",O6="not enrolled")),ROUND(((E19-(E19*0.01057))/2),0), IF((AND(I6&lt;&gt;"not enrolled",K6="not enrolled",M6="not enrolled",O6="not enrolled")),ROUND(((E19-(E19*0.01057))/1),0), 0))))</f>
        <v>0</v>
      </c>
      <c r="K19" s="5">
        <f>IF((AND(I6&lt;&gt;"not enrolled",K6&lt;&gt;"not enrolled",M6&lt;&gt;"not enrolled",O6&lt;&gt;"not enrolled")),ROUND(((E19-(E19*0.01057))/4),0), IF((AND(I6&lt;&gt;"not enrolled",K6&lt;&gt;"not enrolled",M6&lt;&gt;"not enrolled",O6="not enrolled")),ROUND(((E19-(E19*0.01057))/3),0), IF((AND(I6="not enrolled",K6&lt;&gt;"not enrolled",M6&lt;&gt;"not enrolled",O6&lt;&gt;"not enrolled")),ROUND(((E19-(E19*0.01057))/3),0), IF((AND(I6&lt;&gt;"not enrolled",K6&lt;&gt;"not enrolled",M6="not enrolled",O6="not enrolled")),ROUND(((E19-(E19*0.01057))/2),0), 0))))</f>
        <v>0</v>
      </c>
      <c r="M19" s="5">
        <f>IF((AND(I6&lt;&gt;"not enrolled",K6&lt;&gt;"not enrolled",M6&lt;&gt;"not enrolled",O6&lt;&gt;"not enrolled")),ROUND(((E19-(E19*0.01057))/4),0), IF((AND(I6&lt;&gt;"not enrolled",K6&lt;&gt;"not enrolled",M6&lt;&gt;"not enrolled",O6="not enrolled")),ROUND(((E19-(E19*0.01057))/3),0), IF((AND(I6="not enrolled",K6&lt;&gt;"not enrolled",M6&lt;&gt;"not enrolled",O6&lt;&gt;"not enrolled")),ROUND(((E19-(E19*0.01057))/3),0), IF((AND(I6="not enrolled",K6="not enrolled",M6&lt;&gt;"not enrolled",O6&lt;&gt;"not enrolled")),ROUND(((E19-(E19*0.01057))/2),0), 0))))</f>
        <v>0</v>
      </c>
      <c r="O19" s="5">
        <f>IF((AND(I6&lt;&gt;"not enrolled",K6&lt;&gt;"not enrolled",M6&lt;&gt;"not enrolled",O6&lt;&gt;"not enrolled")),ROUND(((E19-(E19*0.01057))/4),0), IF((AND(I6="not enrolled",K6&lt;&gt;"not enrolled",M6&lt;&gt;"not enrolled",O6&lt;&gt;"not enrolled")),ROUND(((E19-(E19*0.01057))/3),0), IF((AND(I6="not enrolled",K6="not enrolled",M6&lt;&gt;"not enrolled",O6&lt;&gt;"not enrolled")),ROUND(((E19-(E19*0.01057))/2),0),  IF((AND(I6="not enrolled",K6="not enrolled",M6="not enrolled",O6&lt;&gt;"not enrolled")),ROUND(((E19-(E19*0.01057))/1),0), 0))))</f>
        <v>0</v>
      </c>
    </row>
    <row r="20" spans="2:15" ht="21.75" customHeight="1" x14ac:dyDescent="0.25">
      <c r="B20" s="11" t="s">
        <v>66</v>
      </c>
      <c r="C20" s="11"/>
      <c r="D20" s="11"/>
      <c r="E20" s="18"/>
      <c r="F20" s="11"/>
      <c r="G20" s="12">
        <f>SUM(I20,K20,M20,O20)</f>
        <v>0</v>
      </c>
      <c r="H20" s="11"/>
      <c r="I20" s="12">
        <f>IF((AND(I6&lt;&gt;"not enrolled",K6&lt;&gt;"not enrolled",M6&lt;&gt;"not enrolled",O6&lt;&gt;"not enrolled")), ROUND(((E20-(E20*0.04228))/4),0), IF((AND(I6&lt;&gt;"not enrolled",K6&lt;&gt;"not enrolled",M6&lt;&gt;"not enrolled",O6="not enrolled")),ROUND(((E20-(E20*0.04228))/3),0), IF((AND(I6&lt;&gt;"not enrolled",K6&lt;&gt;"not enrolled",M6="not enrolled",O6="not enrolled")),ROUND(((E20-(E20*0.04228))/2),0), IF((AND(I6&lt;&gt;"not enrolled",K6="not enrolled",M6="not enrolled",O6="not enrolled")),ROUND(((E20-(E20*0.04228))/1),0), 0))))</f>
        <v>0</v>
      </c>
      <c r="J20" s="11"/>
      <c r="K20" s="12">
        <f>IF((AND(I6&lt;&gt;"not enrolled",K6&lt;&gt;"not enrolled",M6&lt;&gt;"not enrolled",O6&lt;&gt;"not enrolled")),ROUND(((E20-(E20*0.04228))/4),0), IF((AND(I6&lt;&gt;"not enrolled",K6&lt;&gt;"not enrolled",M6&lt;&gt;"not enrolled",O6="not enrolled")),ROUND(((E20-(E20*0.04228))/3),0), IF((AND(I6="not enrolled",K6&lt;&gt;"not enrolled",M6&lt;&gt;"not enrolled",O6&lt;&gt;"not enrolled")),ROUND(((E20-(E20*0.04228))/3),0), IF((AND(I6&lt;&gt;"not enrolled",K6&lt;&gt;"not enrolled",M6="not enrolled",O6="not enrolled")),ROUND(((E20-(E20*0.04228))/2),0), 0))))</f>
        <v>0</v>
      </c>
      <c r="L20" s="12"/>
      <c r="M20" s="12">
        <f>IF((AND(I6&lt;&gt;"not enrolled",K6&lt;&gt;"not enrolled",M6&lt;&gt;"not enrolled",O6&lt;&gt;"not enrolled")),ROUND(((E20-(E20*0.04228))/4),0), IF((AND(I6&lt;&gt;"not enrolled",K6&lt;&gt;"not enrolled",M6&lt;&gt;"not enrolled",O6="not enrolled")),ROUND(((E20-(E20*0.04228))/3),0), IF((AND(I6="not enrolled",K6&lt;&gt;"not enrolled",M6&lt;&gt;"not enrolled",O6&lt;&gt;"not enrolled")),ROUND(((E20-(E20*0.04228))/3),0), IF((AND(I6="not enrolled",K6="not enrolled",M6&lt;&gt;"not enrolled",O6&lt;&gt;"not enrolled")),ROUND(((E20-(E20*0.04228))/2),0), 0))))</f>
        <v>0</v>
      </c>
      <c r="N20" s="12"/>
      <c r="O20" s="12">
        <f>IF((AND(I6&lt;&gt;"not enrolled",K6&lt;&gt;"not enrolled",M6&lt;&gt;"not enrolled",O6&lt;&gt;"not enrolled")),ROUND(((E20-(E20*0.04228))/4),0), IF((AND(I6="not enrolled",K6&lt;&gt;"not enrolled",M6&lt;&gt;"not enrolled",O6&lt;&gt;"not enrolled")),ROUND(((E20-(E20*0.04228))/3),0), IF((AND(I6="not enrolled",K6="not enrolled",M6&lt;&gt;"not enrolled",O6&lt;&gt;"not enrolled")),ROUND(((E20-(E20*0.04228))/2),0),  IF((AND(I6="not enrolled",K6="not enrolled",M6="not enrolled",O6&lt;&gt;"not enrolled")),ROUND(((E20-(E20*0.04228))/1),0), 0))))</f>
        <v>0</v>
      </c>
    </row>
    <row r="21" spans="2:15" ht="21.75" customHeight="1" x14ac:dyDescent="0.25">
      <c r="B21" t="s">
        <v>9</v>
      </c>
      <c r="G21" s="17"/>
      <c r="I21" s="5">
        <f>IF((AND(I6&lt;&gt;"not enrolled",K6&lt;&gt;"not enrolled",M6&lt;&gt;"not enrolled",O6&lt;&gt;"not enrolled")),(G21/4), IF((AND(I6&lt;&gt;"not enrolled",K6&lt;&gt;"not enrolled",M6&lt;&gt;"not enrolled",O6="not enrolled")),(G21/3), IF((AND(I6&lt;&gt;"not enrolled",K6&lt;&gt;"not enrolled",M6="not enrolled",O6="not enrolled")),(G21/2), IF((AND(I6&lt;&gt;"not enrolled",K6="not enrolled",M6="not enrolled",O6="not enrolled")),(G21/1), 0))))</f>
        <v>0</v>
      </c>
      <c r="K21" s="5">
        <f>IF((AND(I6&lt;&gt;"not enrolled",K6&lt;&gt;"not enrolled",M6&lt;&gt;"not enrolled",O6&lt;&gt;"not enrolled")),(G21/4), IF((AND(I6&lt;&gt;"not enrolled",K6&lt;&gt;"not enrolled",M6&lt;&gt;"not enrolled",O6="not enrolled")),(G21/3), IF((AND(I6="not enrolled",K6&lt;&gt;"not enrolled",M6&lt;&gt;"not enrolled",O6&lt;&gt;"not enrolled")),(G21/3), IF((AND(I6&lt;&gt;"not enrolled",K6&lt;&gt;"not enrolled",M6="not enrolled",O6="not enrolled")),(G21/2), 0))))</f>
        <v>0</v>
      </c>
      <c r="M21" s="5">
        <f>IF((AND(I6&lt;&gt;"not enrolled",K6&lt;&gt;"not enrolled",M6&lt;&gt;"not enrolled",O6&lt;&gt;"not enrolled")),(G21/4), IF((AND(I6&lt;&gt;"not enrolled",K6&lt;&gt;"not enrolled",M6&lt;&gt;"not enrolled",O6="not enrolled")),(G21/3), IF((AND(I6="not enrolled",K6&lt;&gt;"not enrolled",M6&lt;&gt;"not enrolled",O6&lt;&gt;"not enrolled")),(G21/3), IF((AND(I6="not enrolled",K6="not enrolled",M6&lt;&gt;"not enrolled",O6&lt;&gt;"not enrolled")),(G21/2), 0))))</f>
        <v>0</v>
      </c>
      <c r="O21" s="5">
        <f>IF((AND(I6&lt;&gt;"not enrolled",K6&lt;&gt;"not enrolled",M6&lt;&gt;"not enrolled",O6&lt;&gt;"not enrolled")),(G21/4), IF((AND(I6="not enrolled",K6&lt;&gt;"not enrolled",M6&lt;&gt;"not enrolled",O6&lt;&gt;"not enrolled")),(G21/3), IF((AND(I6="not enrolled",K6="not enrolled",M6&lt;&gt;"not enrolled",O6&lt;&gt;"not enrolled")),(G21/2),  IF((AND(I6="not enrolled",K6="not enrolled",M6="not enrolled",O6&lt;&gt;"not enrolled")),(G21), 0))))</f>
        <v>0</v>
      </c>
    </row>
    <row r="22" spans="2:15" ht="21.75" customHeight="1" x14ac:dyDescent="0.25">
      <c r="B22" s="77" t="s">
        <v>23</v>
      </c>
      <c r="C22" s="77"/>
      <c r="D22" s="77"/>
      <c r="E22" s="77"/>
      <c r="F22" s="77"/>
      <c r="G22" s="28">
        <f>I22+K22+M22+O22</f>
        <v>0</v>
      </c>
      <c r="H22" s="27"/>
      <c r="I22" s="19"/>
      <c r="J22" s="27"/>
      <c r="K22" s="19"/>
      <c r="L22" s="33"/>
      <c r="M22" s="19"/>
      <c r="N22" s="33"/>
      <c r="O22" s="19"/>
    </row>
    <row r="23" spans="2:15" ht="21.75" customHeight="1" x14ac:dyDescent="0.25">
      <c r="C23" s="8" t="s">
        <v>10</v>
      </c>
      <c r="G23" s="5">
        <f>SUM(G17:G22)</f>
        <v>0</v>
      </c>
      <c r="I23" s="5">
        <f>SUM(I17:I22)</f>
        <v>0</v>
      </c>
      <c r="K23" s="5">
        <f>SUM(K17:K22)</f>
        <v>0</v>
      </c>
      <c r="M23" s="5">
        <f>SUM(M17:M22)</f>
        <v>0</v>
      </c>
      <c r="O23" s="5">
        <f>SUM(O17:O22)</f>
        <v>0</v>
      </c>
    </row>
    <row r="24" spans="2:15" ht="15.75" thickBot="1" x14ac:dyDescent="0.3"/>
    <row r="25" spans="2:15" ht="21.75" customHeight="1" thickTop="1" thickBot="1" x14ac:dyDescent="0.35">
      <c r="B25" s="15" t="s">
        <v>12</v>
      </c>
      <c r="C25" s="14"/>
      <c r="D25" s="14"/>
      <c r="E25" s="14"/>
      <c r="F25" s="14"/>
      <c r="G25" s="25">
        <f>G14-G23</f>
        <v>0</v>
      </c>
      <c r="H25" s="26"/>
      <c r="I25" s="25">
        <f>I14-I23</f>
        <v>0</v>
      </c>
      <c r="J25" s="26"/>
      <c r="K25" s="25">
        <f>K14-K23</f>
        <v>0</v>
      </c>
      <c r="L25" s="25"/>
      <c r="M25" s="25">
        <f>M14-M23</f>
        <v>0</v>
      </c>
      <c r="N25" s="25"/>
      <c r="O25" s="25">
        <f>O14-O23</f>
        <v>0</v>
      </c>
    </row>
    <row r="26" spans="2:15" ht="15.75" thickTop="1" x14ac:dyDescent="0.25"/>
    <row r="27" spans="2:15" x14ac:dyDescent="0.25">
      <c r="B27" s="8" t="s">
        <v>13</v>
      </c>
    </row>
    <row r="28" spans="2:15" ht="22.9" customHeight="1" x14ac:dyDescent="0.25">
      <c r="B28" s="74" t="s">
        <v>112</v>
      </c>
      <c r="C28" s="72"/>
      <c r="D28" s="72"/>
      <c r="E28" s="72"/>
      <c r="F28" s="72"/>
      <c r="G28" s="72"/>
      <c r="H28" s="72"/>
      <c r="I28" s="72"/>
      <c r="J28" s="72"/>
      <c r="K28" s="72"/>
      <c r="L28" s="72"/>
      <c r="M28" s="72"/>
      <c r="N28" s="72"/>
      <c r="O28" s="72"/>
    </row>
    <row r="29" spans="2:15" ht="21.75" customHeight="1" x14ac:dyDescent="0.25">
      <c r="B29" s="71" t="s">
        <v>109</v>
      </c>
      <c r="C29" s="71"/>
      <c r="D29" s="71"/>
      <c r="E29" s="71"/>
      <c r="F29" s="71"/>
      <c r="G29" s="71"/>
      <c r="H29" s="71"/>
      <c r="I29" s="71"/>
      <c r="J29" s="71"/>
      <c r="K29" s="71"/>
      <c r="L29" s="71"/>
      <c r="M29" s="71"/>
      <c r="N29" s="71"/>
      <c r="O29" s="71"/>
    </row>
    <row r="30" spans="2:15" ht="48.75" customHeight="1" x14ac:dyDescent="0.25">
      <c r="B30" s="72" t="s">
        <v>108</v>
      </c>
      <c r="C30" s="72"/>
      <c r="D30" s="72"/>
      <c r="E30" s="72"/>
      <c r="F30" s="72"/>
      <c r="G30" s="72"/>
      <c r="H30" s="72"/>
      <c r="I30" s="72"/>
      <c r="J30" s="72"/>
      <c r="K30" s="72"/>
      <c r="L30" s="72"/>
      <c r="M30" s="72"/>
      <c r="N30" s="72"/>
      <c r="O30" s="35"/>
    </row>
    <row r="31" spans="2:15" ht="34.5" customHeight="1" x14ac:dyDescent="0.25">
      <c r="B31" s="72" t="s">
        <v>75</v>
      </c>
      <c r="C31" s="72"/>
      <c r="D31" s="72"/>
      <c r="E31" s="72"/>
      <c r="F31" s="72"/>
      <c r="G31" s="72"/>
      <c r="H31" s="72"/>
      <c r="I31" s="72"/>
      <c r="J31" s="72"/>
      <c r="K31" s="72"/>
      <c r="L31" s="72"/>
      <c r="M31" s="72"/>
      <c r="N31" s="72"/>
      <c r="O31" s="72"/>
    </row>
    <row r="32" spans="2:15" ht="63.75" customHeight="1" x14ac:dyDescent="0.25">
      <c r="B32" s="72" t="s">
        <v>118</v>
      </c>
      <c r="C32" s="72"/>
      <c r="D32" s="72"/>
      <c r="E32" s="72"/>
      <c r="F32" s="72"/>
      <c r="G32" s="72"/>
      <c r="H32" s="72"/>
      <c r="I32" s="72"/>
      <c r="J32" s="72"/>
      <c r="K32" s="72"/>
      <c r="L32" s="72"/>
      <c r="M32" s="72"/>
      <c r="N32" s="72"/>
      <c r="O32" s="72"/>
    </row>
    <row r="33" spans="2:15" ht="21.75" customHeight="1" x14ac:dyDescent="0.25"/>
    <row r="35" spans="2:15" x14ac:dyDescent="0.25">
      <c r="B35" s="67" t="s">
        <v>14</v>
      </c>
      <c r="C35" s="67"/>
      <c r="D35" s="67"/>
      <c r="E35" s="67"/>
      <c r="F35" s="67"/>
      <c r="G35" s="67"/>
      <c r="H35" s="67"/>
      <c r="I35" s="67"/>
      <c r="J35" s="67"/>
      <c r="K35" s="67"/>
      <c r="L35" s="67"/>
      <c r="M35" s="67"/>
      <c r="N35" s="67"/>
      <c r="O35" s="67"/>
    </row>
  </sheetData>
  <sheetProtection algorithmName="SHA-512" hashValue="90xXll+WIGNi1onVMALO+C6XBB4M5gbbFIQDf46ayFXcw5lLON1JXEROiVA8hzRXB4j5qdKb01PBtHIkDe1P8Q==" saltValue="m01x0O6e7qBDE85rTWtaDw==" spinCount="100000" sheet="1" selectLockedCells="1"/>
  <mergeCells count="12">
    <mergeCell ref="B32:O32"/>
    <mergeCell ref="B35:O35"/>
    <mergeCell ref="G2:O2"/>
    <mergeCell ref="C10:D10"/>
    <mergeCell ref="B22:F22"/>
    <mergeCell ref="B28:O28"/>
    <mergeCell ref="B29:O29"/>
    <mergeCell ref="B12:D12"/>
    <mergeCell ref="B13:D13"/>
    <mergeCell ref="B30:N30"/>
    <mergeCell ref="B31:O31"/>
    <mergeCell ref="G4:I4"/>
  </mergeCells>
  <hyperlinks>
    <hyperlink ref="B12" r:id="rId1" display="Will you enroll in DU's health insurance plan?" xr:uid="{00000000-0004-0000-0400-000000000000}"/>
    <hyperlink ref="B13" r:id="rId2" display="Will you use DU Health &amp; Counseling Services? " xr:uid="{00000000-0004-0000-0400-000001000000}"/>
  </hyperlinks>
  <pageMargins left="0.5" right="0.5" top="0.5" bottom="0.5" header="0.3" footer="0.3"/>
  <pageSetup scale="67" orientation="portrait"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0000000}">
          <x14:formula1>
            <xm:f>Data1!$A$25:$A$26</xm:f>
          </x14:formula1>
          <xm:sqref>E12</xm:sqref>
        </x14:dataValidation>
        <x14:dataValidation type="list" allowBlank="1" showInputMessage="1" showErrorMessage="1" xr:uid="{00000000-0002-0000-0400-000001000000}">
          <x14:formula1>
            <xm:f>Data1!$K$25:$K$43</xm:f>
          </x14:formula1>
          <xm:sqref>O6 I6 K6 M6</xm:sqref>
        </x14:dataValidation>
        <x14:dataValidation type="list" allowBlank="1" showInputMessage="1" showErrorMessage="1" xr:uid="{A8057A53-6551-4C80-B53F-DA8BB3F042C4}">
          <x14:formula1>
            <xm:f>Data1!$A$33:$A$34</xm:f>
          </x14:formula1>
          <xm:sqref>G4:I4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37"/>
  <sheetViews>
    <sheetView showGridLines="0" showRowColHeaders="0" showRuler="0" zoomScaleNormal="100" workbookViewId="0">
      <selection activeCell="G5" sqref="G5:I5"/>
    </sheetView>
  </sheetViews>
  <sheetFormatPr defaultColWidth="8.85546875" defaultRowHeight="15" x14ac:dyDescent="0.25"/>
  <cols>
    <col min="1" max="1" width="4.140625" customWidth="1"/>
    <col min="4" max="4" width="26.140625" customWidth="1"/>
    <col min="5" max="5" width="13.85546875" customWidth="1"/>
    <col min="6" max="6" width="4.28515625" customWidth="1"/>
    <col min="7" max="7" width="15" style="5" customWidth="1"/>
    <col min="8" max="8" width="2.85546875" customWidth="1"/>
    <col min="9" max="9" width="15" style="5" customWidth="1"/>
    <col min="10" max="10" width="2.85546875" customWidth="1"/>
    <col min="11" max="11" width="15" style="5" customWidth="1"/>
    <col min="12" max="12" width="2.85546875" style="5" customWidth="1"/>
    <col min="13" max="13" width="15" style="5" customWidth="1"/>
    <col min="14" max="14" width="2.85546875" style="5" customWidth="1"/>
    <col min="15" max="15" width="15" style="5" customWidth="1"/>
  </cols>
  <sheetData>
    <row r="1" spans="2:15" ht="17.25" customHeight="1" x14ac:dyDescent="0.25"/>
    <row r="2" spans="2:15" ht="47.25" customHeight="1" x14ac:dyDescent="0.35">
      <c r="G2" s="68" t="s">
        <v>104</v>
      </c>
      <c r="H2" s="68"/>
      <c r="I2" s="68"/>
      <c r="J2" s="68"/>
      <c r="K2" s="68"/>
      <c r="L2" s="68"/>
      <c r="M2" s="68"/>
      <c r="N2" s="68"/>
      <c r="O2" s="68"/>
    </row>
    <row r="3" spans="2:15" ht="8.25" customHeight="1" x14ac:dyDescent="0.25">
      <c r="B3" s="20"/>
      <c r="C3" s="20"/>
      <c r="D3" s="20"/>
      <c r="E3" s="20"/>
      <c r="F3" s="20"/>
      <c r="G3" s="21"/>
      <c r="H3" s="22"/>
      <c r="I3" s="22"/>
      <c r="J3" s="22"/>
      <c r="K3" s="22"/>
      <c r="L3" s="22"/>
      <c r="M3" s="22"/>
      <c r="N3" s="22"/>
      <c r="O3" s="22"/>
    </row>
    <row r="4" spans="2:15" ht="9.75" customHeight="1" x14ac:dyDescent="0.25"/>
    <row r="5" spans="2:15" ht="18.75" customHeight="1" x14ac:dyDescent="0.3">
      <c r="C5" s="6" t="s">
        <v>20</v>
      </c>
      <c r="D5" s="29"/>
      <c r="E5" s="29"/>
      <c r="G5" s="86" t="s">
        <v>105</v>
      </c>
      <c r="H5" s="87"/>
      <c r="I5" s="88"/>
    </row>
    <row r="6" spans="2:15" ht="9.75" customHeight="1" x14ac:dyDescent="0.25"/>
    <row r="7" spans="2:15" ht="15" customHeight="1" x14ac:dyDescent="0.25">
      <c r="I7" s="57" t="s">
        <v>91</v>
      </c>
      <c r="K7" s="57" t="s">
        <v>92</v>
      </c>
      <c r="L7" s="34"/>
      <c r="M7" s="57" t="s">
        <v>93</v>
      </c>
      <c r="N7" s="34"/>
      <c r="O7" s="57" t="s">
        <v>94</v>
      </c>
    </row>
    <row r="8" spans="2:15" ht="18" customHeight="1" x14ac:dyDescent="0.3">
      <c r="C8" s="6" t="s">
        <v>44</v>
      </c>
      <c r="E8" s="29"/>
      <c r="F8" s="29"/>
      <c r="G8" s="29"/>
      <c r="H8" s="29"/>
      <c r="I8" s="54" t="s">
        <v>63</v>
      </c>
      <c r="K8" s="55" t="s">
        <v>63</v>
      </c>
      <c r="L8"/>
      <c r="M8" s="56" t="s">
        <v>63</v>
      </c>
      <c r="N8"/>
      <c r="O8" s="56" t="s">
        <v>63</v>
      </c>
    </row>
    <row r="9" spans="2:15" ht="18.75" customHeight="1" x14ac:dyDescent="0.25"/>
    <row r="10" spans="2:15" ht="15.75" thickBot="1" x14ac:dyDescent="0.3">
      <c r="B10" s="1" t="s">
        <v>7</v>
      </c>
      <c r="C10" s="2"/>
      <c r="D10" s="2"/>
      <c r="E10" s="2"/>
      <c r="F10" s="2"/>
      <c r="G10" s="4" t="s">
        <v>3</v>
      </c>
      <c r="H10" s="3"/>
      <c r="I10" s="4" t="s">
        <v>95</v>
      </c>
      <c r="J10" s="3"/>
      <c r="K10" s="4" t="s">
        <v>96</v>
      </c>
      <c r="L10" s="4"/>
      <c r="M10" s="4" t="s">
        <v>97</v>
      </c>
      <c r="N10" s="4"/>
      <c r="O10" s="4" t="s">
        <v>98</v>
      </c>
    </row>
    <row r="11" spans="2:15" ht="9" customHeight="1" x14ac:dyDescent="0.25"/>
    <row r="12" spans="2:15" ht="21.75" customHeight="1" x14ac:dyDescent="0.25">
      <c r="B12" s="10" t="s">
        <v>1</v>
      </c>
      <c r="C12" s="76"/>
      <c r="D12" s="76"/>
      <c r="E12" s="11"/>
      <c r="F12" s="11"/>
      <c r="G12" s="12">
        <f>I12+K12+M12+O12</f>
        <v>0</v>
      </c>
      <c r="H12" s="11"/>
      <c r="I12" s="12">
        <f>IF((OR(G5="2026 Fall or 2027 Spring Quarter")), (VLOOKUP(I8,Data1!F2:H22, 2, FALSE)), IF((OR(G5="2025 Fall or 2026 Spring Quarter")), (VLOOKUP(I8, Data1!F2:H22, 3, FALSE)), 0))</f>
        <v>0</v>
      </c>
      <c r="J12" s="11"/>
      <c r="K12" s="12">
        <f>IF((OR(G5="2026 Fall or 2027 Spring Quarter")), (VLOOKUP(K8,Data1!F2:H22, 2, FALSE)), IF((OR(G5="2025 Fall or 2026 Spring Quarter")), (VLOOKUP(K8, Data1!F2:H22, 3, FALSE)), 0))</f>
        <v>0</v>
      </c>
      <c r="L12" s="12"/>
      <c r="M12" s="12">
        <f>IF((OR(G5="2026 Fall or 2027 Spring Quarter")), (VLOOKUP(M8,Data1!F2:H22, 2, FALSE)), IF((OR(G5="2025 Fall or 2026 Spring Quarter")), (VLOOKUP(M8, Data1!F2:H22, 3, FALSE)), 0))</f>
        <v>0</v>
      </c>
      <c r="N12" s="12"/>
      <c r="O12" s="12">
        <f>IF((OR(G5="2026 Fall or 2027 Spring Quarter")), (VLOOKUP(O8,Data1!F2:H22, 2, FALSE)), IF((OR(G5="2025 Fall or 2026 Spring Quarter")), (VLOOKUP(O8, Data1!F2:H22, 3, FALSE)), 0))</f>
        <v>0</v>
      </c>
    </row>
    <row r="13" spans="2:15" ht="21.75" customHeight="1" x14ac:dyDescent="0.25">
      <c r="B13" s="35" t="s">
        <v>2</v>
      </c>
      <c r="G13" s="36">
        <f>I13+K13+M13+O13</f>
        <v>0</v>
      </c>
      <c r="I13" s="36">
        <f>VLOOKUP(I8,Data1!F2:I22,4,FALSE)</f>
        <v>0</v>
      </c>
      <c r="K13" s="36">
        <f>VLOOKUP(K8,Data1!F2:I22,4,FALSE)</f>
        <v>0</v>
      </c>
      <c r="L13" s="36"/>
      <c r="M13" s="36">
        <f>VLOOKUP(M8,Data1!F2:I22,4,FALSE)</f>
        <v>0</v>
      </c>
      <c r="N13" s="36"/>
      <c r="O13" s="36">
        <f>VLOOKUP(O8,Data1!F2:I22,4,FALSE)</f>
        <v>0</v>
      </c>
    </row>
    <row r="14" spans="2:15" ht="21.75" customHeight="1" x14ac:dyDescent="0.25">
      <c r="B14" s="78" t="s">
        <v>56</v>
      </c>
      <c r="C14" s="78"/>
      <c r="D14" s="79"/>
      <c r="E14" s="31"/>
      <c r="F14" s="11"/>
      <c r="G14" s="30">
        <f>I14+K14+M14+O14</f>
        <v>0</v>
      </c>
      <c r="H14" s="11"/>
      <c r="I14" s="30">
        <f>IF(AND(E14="Yes", I8&lt;&gt;"not enrolled"), (VLOOKUP(E14,Data1!A25:C26, 2, FALSE)), 0)</f>
        <v>0</v>
      </c>
      <c r="J14" s="11"/>
      <c r="K14" s="30">
        <v>0</v>
      </c>
      <c r="L14" s="30"/>
      <c r="M14" s="30">
        <f>IF(AND(E14="Yes", M8&lt;&gt;"not enrolled"), (VLOOKUP(E14,Data1!A25:C26, 2, FALSE)), 0)</f>
        <v>0</v>
      </c>
      <c r="N14" s="11"/>
      <c r="O14" s="37">
        <v>0</v>
      </c>
    </row>
    <row r="15" spans="2:15" ht="21.75" customHeight="1" x14ac:dyDescent="0.25">
      <c r="B15" s="80" t="s">
        <v>64</v>
      </c>
      <c r="C15" s="80"/>
      <c r="D15" s="80"/>
      <c r="E15" s="60"/>
      <c r="F15" s="7"/>
      <c r="G15" s="32">
        <f>I15+K15+M15+O15</f>
        <v>0</v>
      </c>
      <c r="H15" s="7"/>
      <c r="I15" s="62">
        <f>IF(AND(I8&lt;&gt;"select", I8&lt;&gt;"not enrolled",I8&lt;&gt;"4 credits",I8&lt;&gt;"5 credits",I8&lt;&gt;"6 credits",I8&lt;&gt;"7 credits"), 258, 0)</f>
        <v>0</v>
      </c>
      <c r="J15" s="7"/>
      <c r="K15" s="62">
        <f>IF(AND(K8&lt;&gt;"select", K8&lt;&gt;"not enrolled",K8&lt;&gt;"4 credits",K8&lt;&gt;"5 credits",K8&lt;&gt;"6 credits",K8&lt;&gt;"7 credits"), 258, 0)</f>
        <v>0</v>
      </c>
      <c r="L15" s="32"/>
      <c r="M15" s="62">
        <f>IF(AND(M8&lt;&gt;"select",M8&lt;&gt;"not enrolled",M8&lt;&gt;"4 credits",M8&lt;&gt;"5 credits",M8&lt;&gt;"6 credits",M8&lt;&gt;"7 credits"), 258, 0)</f>
        <v>0</v>
      </c>
      <c r="N15" s="7"/>
      <c r="O15" s="63">
        <f>IF(AND(O8&lt;&gt;"select",O8&lt;&gt;"not enrolled",O8&lt;&gt;"4 credits",O8&lt;&gt;"5 credits",O8&lt;&gt;"6 credits",O8&lt;&gt;"7 credits"), 258, 0)</f>
        <v>0</v>
      </c>
    </row>
    <row r="16" spans="2:15" ht="21.75" customHeight="1" x14ac:dyDescent="0.25">
      <c r="C16" s="8" t="s">
        <v>6</v>
      </c>
      <c r="G16" s="9">
        <f>SUM(G12:G15)</f>
        <v>0</v>
      </c>
      <c r="I16" s="9">
        <f>SUM(I12:I15)</f>
        <v>0</v>
      </c>
      <c r="K16" s="9">
        <f>SUM(K12:K15)</f>
        <v>0</v>
      </c>
      <c r="L16" s="9"/>
      <c r="M16" s="9">
        <f>SUM(M12:M15)</f>
        <v>0</v>
      </c>
      <c r="N16" s="9"/>
      <c r="O16" s="9">
        <f>SUM(O12:O15)</f>
        <v>0</v>
      </c>
    </row>
    <row r="17" spans="1:15" ht="24" customHeight="1" x14ac:dyDescent="0.25"/>
    <row r="18" spans="1:15" ht="15.75" thickBot="1" x14ac:dyDescent="0.3">
      <c r="B18" s="1" t="s">
        <v>11</v>
      </c>
      <c r="C18" s="2"/>
      <c r="D18" s="2"/>
      <c r="E18" s="2"/>
      <c r="F18" s="2"/>
      <c r="G18" s="4" t="s">
        <v>3</v>
      </c>
      <c r="H18" s="3"/>
      <c r="I18" s="4" t="s">
        <v>95</v>
      </c>
      <c r="J18" s="3"/>
      <c r="K18" s="4" t="s">
        <v>96</v>
      </c>
      <c r="L18" s="4"/>
      <c r="M18" s="4" t="s">
        <v>97</v>
      </c>
      <c r="N18" s="4"/>
      <c r="O18" s="4" t="s">
        <v>98</v>
      </c>
    </row>
    <row r="19" spans="1:15" ht="21.75" customHeight="1" x14ac:dyDescent="0.25">
      <c r="B19" t="s">
        <v>16</v>
      </c>
      <c r="G19" s="16"/>
      <c r="I19" s="5">
        <f>IF((AND(I8&lt;&gt;"not enrolled",K8&lt;&gt;"not enrolled",M8&lt;&gt;"not enrolled",O8&lt;&gt;"not enrolled")),(G19/4), IF((AND(I8&lt;&gt;"not enrolled",K8&lt;&gt;"not enrolled",M8&lt;&gt;"not enrolled",O8="not enrolled")),(G19/3), IF((AND(I8&lt;&gt;"not enrolled",K8&lt;&gt;"not enrolled",M8="not enrolled",O8="not enrolled")),(G19/2), IF((AND(I8&lt;&gt;"not enrolled",K8="not enrolled",M8="not enrolled",O8="not enrolled")),(G19/1), 0))))</f>
        <v>0</v>
      </c>
      <c r="K19" s="5">
        <f>IF((AND(I8&lt;&gt;"not enrolled",K8&lt;&gt;"not enrolled",M8&lt;&gt;"not enrolled",O8&lt;&gt;"not enrolled")),(G19/4), IF((AND(I8&lt;&gt;"not enrolled",K8&lt;&gt;"not enrolled",M8&lt;&gt;"not enrolled",O8="not enrolled")),(G19/3), IF((AND(I8="not enrolled",K8&lt;&gt;"not enrolled",M8&lt;&gt;"not enrolled",O8&lt;&gt;"not enrolled")),(G19/3), IF((AND(I8&lt;&gt;"not enrolled",K8&lt;&gt;"not enrolled",M8="not enrolled",O8="not enrolled")),(G19/2), 0))))</f>
        <v>0</v>
      </c>
      <c r="M19" s="5">
        <f>IF((AND(I8&lt;&gt;"not enrolled",K8&lt;&gt;"not enrolled",M8&lt;&gt;"not enrolled",O8&lt;&gt;"not enrolled")),(G19/4), IF((AND(I8&lt;&gt;"not enrolled",K8&lt;&gt;"not enrolled",M8&lt;&gt;"not enrolled",O8="not enrolled")),(G19/3), IF((AND(I8="not enrolled",K8&lt;&gt;"not enrolled",M8&lt;&gt;"not enrolled",O8&lt;&gt;"not enrolled")),(G19/3), IF((AND(I8="not enrolled",K8="not enrolled",M8&lt;&gt;"not enrolled",O8&lt;&gt;"not enrolled")),(G19/2), 0))))</f>
        <v>0</v>
      </c>
      <c r="O19" s="5">
        <f>IF((AND(I8&lt;&gt;"not enrolled",K8&lt;&gt;"not enrolled",M8&lt;&gt;"not enrolled",O8&lt;&gt;"not enrolled")),(G19/4), IF((AND(I8="not enrolled",K8&lt;&gt;"not enrolled",M8&lt;&gt;"not enrolled",O8&lt;&gt;"not enrolled")),(G19/3), IF((AND(I8="not enrolled",K8="not enrolled",M8&lt;&gt;"not enrolled",O8&lt;&gt;"not enrolled")),(G19/2),  IF((AND(I8="not enrolled",K8="not enrolled",M8="not enrolled",O8&lt;&gt;"not enrolled")),(G19), 0))))</f>
        <v>0</v>
      </c>
    </row>
    <row r="20" spans="1:15" ht="21.75" customHeight="1" x14ac:dyDescent="0.25">
      <c r="B20" s="11" t="s">
        <v>8</v>
      </c>
      <c r="C20" s="11"/>
      <c r="D20" s="11"/>
      <c r="E20" s="11"/>
      <c r="F20" s="11"/>
      <c r="G20" s="17"/>
      <c r="H20" s="11"/>
      <c r="I20" s="12">
        <f>IF((AND(I8&lt;&gt;"not enrolled",K8&lt;&gt;"not enrolled",M8&lt;&gt;"not enrolled",O8&lt;&gt;"not enrolled")),(G20/4), IF((AND(I8&lt;&gt;"not enrolled",K8&lt;&gt;"not enrolled",M8&lt;&gt;"not enrolled",O8="not enrolled")),(G20/3), IF((AND(I8&lt;&gt;"not enrolled",K8&lt;&gt;"not enrolled",M8="not enrolled",O8="not enrolled")),(G20/2), IF((AND(I8&lt;&gt;"not enrolled",K8="not enrolled",M8="not enrolled",O8="not enrolled")),(G20/1), 0))))</f>
        <v>0</v>
      </c>
      <c r="J20" s="11"/>
      <c r="K20" s="12">
        <f>IF((AND(I8&lt;&gt;"not enrolled",K8&lt;&gt;"not enrolled",M8&lt;&gt;"not enrolled",O8&lt;&gt;"not enrolled")),(G20/4), IF((AND(I8&lt;&gt;"not enrolled",K8&lt;&gt;"not enrolled",M8&lt;&gt;"not enrolled",O8="not enrolled")),(G20/3), IF((AND(I8="not enrolled",K8&lt;&gt;"not enrolled",M8&lt;&gt;"not enrolled",O8&lt;&gt;"not enrolled")),(G20/3), IF((AND(I8&lt;&gt;"not enrolled",K8&lt;&gt;"not enrolled",M8="not enrolled",O8="not enrolled")),(G20/2), 0))))</f>
        <v>0</v>
      </c>
      <c r="L20" s="12"/>
      <c r="M20" s="12">
        <f>IF((AND(I8&lt;&gt;"not enrolled",K8&lt;&gt;"not enrolled",M8&lt;&gt;"not enrolled",O8&lt;&gt;"not enrolled")),(G20/4), IF((AND(I8&lt;&gt;"not enrolled",K8&lt;&gt;"not enrolled",M8&lt;&gt;"not enrolled",O8="not enrolled")),(G20/3), IF((AND(I8="not enrolled",K8&lt;&gt;"not enrolled",M8&lt;&gt;"not enrolled",O8&lt;&gt;"not enrolled")),(G20/3), IF((AND(I8="not enrolled",K8="not enrolled",M8&lt;&gt;"not enrolled",O8&lt;&gt;"not enrolled")),(G20/2), 0))))</f>
        <v>0</v>
      </c>
      <c r="N20" s="12"/>
      <c r="O20" s="12">
        <f>IF((AND(I8&lt;&gt;"not enrolled",K8&lt;&gt;"not enrolled",M8&lt;&gt;"not enrolled",O8&lt;&gt;"not enrolled")),(G20/4), IF((AND(I8="not enrolled",K8&lt;&gt;"not enrolled",M8&lt;&gt;"not enrolled",O8&lt;&gt;"not enrolled")),(G20/3), IF((AND(I8="not enrolled",K8="not enrolled",M8&lt;&gt;"not enrolled",O8&lt;&gt;"not enrolled")),(G20/2),  IF((AND(I8="not enrolled",K8="not enrolled",M8="not enrolled",O8&lt;&gt;"not enrolled")),(G20), 0))))</f>
        <v>0</v>
      </c>
    </row>
    <row r="21" spans="1:15" ht="21.75" customHeight="1" x14ac:dyDescent="0.25">
      <c r="B21" t="s">
        <v>65</v>
      </c>
      <c r="E21" s="18"/>
      <c r="G21" s="5">
        <f>SUM(I21,K21,M21,O21)</f>
        <v>0</v>
      </c>
      <c r="I21" s="5">
        <f>IF((AND(I8&lt;&gt;"not enrolled",K8&lt;&gt;"not enrolled",M8&lt;&gt;"not enrolled",O8&lt;&gt;"not enrolled")), ROUND(((E21-(E21*0.01057))/4),0), IF((AND(I8&lt;&gt;"not enrolled",K8&lt;&gt;"not enrolled",M8&lt;&gt;"not enrolled",O8="not enrolled")),ROUND(((E21-(E21*0.01057))/3),0), IF((AND(I8&lt;&gt;"not enrolled",K8&lt;&gt;"not enrolled",M8="not enrolled",O8="not enrolled")),ROUND(((E21-(E21*0.01057))/2),0), IF((AND(I8&lt;&gt;"not enrolled",K8="not enrolled",M8="not enrolled",O8="not enrolled")),ROUND(((E21-(E21*0.01057))/1),0), 0))))</f>
        <v>0</v>
      </c>
      <c r="K21" s="5">
        <f>IF((AND(I8&lt;&gt;"not enrolled",K8&lt;&gt;"not enrolled",M8&lt;&gt;"not enrolled",O8&lt;&gt;"not enrolled")),ROUND(((E21-(E21*0.01057))/4),0), IF((AND(I8&lt;&gt;"not enrolled",K8&lt;&gt;"not enrolled",M8&lt;&gt;"not enrolled",O8="not enrolled")),ROUND(((E21-(E21*0.01057))/3),0), IF((AND(I8="not enrolled",K8&lt;&gt;"not enrolled",M8&lt;&gt;"not enrolled",O8&lt;&gt;"not enrolled")),ROUND(((E21-(E21*0.01057))/3),0), IF((AND(I8&lt;&gt;"not enrolled",K8&lt;&gt;"not enrolled",M8="not enrolled",O8="not enrolled")),ROUND(((E21-(E21*0.01057))/2),0), 0))))</f>
        <v>0</v>
      </c>
      <c r="M21" s="5">
        <f>IF((AND(I8&lt;&gt;"not enrolled",K8&lt;&gt;"not enrolled",M8&lt;&gt;"not enrolled",O8&lt;&gt;"not enrolled")),ROUND(((E21-(E21*0.01057))/4),0), IF((AND(I8&lt;&gt;"not enrolled",K8&lt;&gt;"not enrolled",M8&lt;&gt;"not enrolled",O8="not enrolled")),ROUND(((E21-(E21*0.01057))/3),0), IF((AND(I8="not enrolled",K8&lt;&gt;"not enrolled",M8&lt;&gt;"not enrolled",O8&lt;&gt;"not enrolled")),ROUND(((E21-(E21*0.01057))/3),0), IF((AND(I8="not enrolled",K8="not enrolled",M8&lt;&gt;"not enrolled",O8&lt;&gt;"not enrolled")),ROUND(((E21-(E21*0.01057))/2),0), 0))))</f>
        <v>0</v>
      </c>
      <c r="O21" s="5">
        <f>IF((AND(I8&lt;&gt;"not enrolled",K8&lt;&gt;"not enrolled",M8&lt;&gt;"not enrolled",O8&lt;&gt;"not enrolled")),ROUND(((E21-(E21*0.01057))/4),0), IF((AND(I8="not enrolled",K8&lt;&gt;"not enrolled",M8&lt;&gt;"not enrolled",O8&lt;&gt;"not enrolled")),ROUND(((E21-(E21*0.01057))/3),0), IF((AND(I8="not enrolled",K8="not enrolled",M8&lt;&gt;"not enrolled",O8&lt;&gt;"not enrolled")),ROUND(((E21-(E21*0.01057))/2),0),  IF((AND(I8="not enrolled",K8="not enrolled",M8="not enrolled",O8&lt;&gt;"not enrolled")),ROUND(((E21-(E21*0.01057))/1),0), 0))))</f>
        <v>0</v>
      </c>
    </row>
    <row r="22" spans="1:15" ht="21.75" customHeight="1" x14ac:dyDescent="0.25">
      <c r="B22" s="11" t="s">
        <v>66</v>
      </c>
      <c r="C22" s="11"/>
      <c r="D22" s="11"/>
      <c r="E22" s="18"/>
      <c r="F22" s="11"/>
      <c r="G22" s="12">
        <f>SUM(I22,K22,M22,O22)</f>
        <v>0</v>
      </c>
      <c r="H22" s="11"/>
      <c r="I22" s="12">
        <f>IF((AND(I8&lt;&gt;"not enrolled",K8&lt;&gt;"not enrolled",M8&lt;&gt;"not enrolled",O8&lt;&gt;"not enrolled")), ROUND(((E22-(E22*0.01057))/4),0), IF((AND(I8&lt;&gt;"not enrolled",K8&lt;&gt;"not enrolled",M8&lt;&gt;"not enrolled",O8="not enrolled")),ROUND(((E22-(E22*0.01057))/3),0), IF((AND(I8&lt;&gt;"not enrolled",K8&lt;&gt;"not enrolled",M8="not enrolled",O8="not enrolled")),ROUND(((E22-(E22*0.01057))/2),0), IF((AND(I8&lt;&gt;"not enrolled",K8="not enrolled",M8="not enrolled",O8="not enrolled")),ROUND(((E22-(E22*0.01057))/1),0), 0))))</f>
        <v>0</v>
      </c>
      <c r="J22" s="11"/>
      <c r="K22" s="12">
        <f>IF((AND(I8&lt;&gt;"not enrolled",K8&lt;&gt;"not enrolled",M8&lt;&gt;"not enrolled",O8&lt;&gt;"not enrolled")),ROUND(((E22-(E22*0.01057))/4),0), IF((AND(I8&lt;&gt;"not enrolled",K8&lt;&gt;"not enrolled",M8&lt;&gt;"not enrolled",O8="not enrolled")),ROUND(((E22-(E22*0.01057))/3),0), IF((AND(I8="not enrolled",K8&lt;&gt;"not enrolled",M8&lt;&gt;"not enrolled",O8&lt;&gt;"not enrolled")),ROUND(((E22-(E22*0.01057))/3),0), IF((AND(I8&lt;&gt;"not enrolled",K8&lt;&gt;"not enrolled",M8="not enrolled",O8="not enrolled")),ROUND(((E22-(E22*0.01057))/2),0), 0))))</f>
        <v>0</v>
      </c>
      <c r="L22" s="12"/>
      <c r="M22" s="12">
        <f>IF((AND(I8&lt;&gt;"not enrolled",K8&lt;&gt;"not enrolled",M8&lt;&gt;"not enrolled",O8&lt;&gt;"not enrolled")),ROUND(((E22-(E22*0.01057))/4),0), IF((AND(I8&lt;&gt;"not enrolled",K8&lt;&gt;"not enrolled",M8&lt;&gt;"not enrolled",O8="not enrolled")),ROUND(((E22-(E22*0.01057))/3),0), IF((AND(I8="not enrolled",K8&lt;&gt;"not enrolled",M8&lt;&gt;"not enrolled",O8&lt;&gt;"not enrolled")),ROUND(((E22-(E22*0.01057))/3),0), IF((AND(I8="not enrolled",K8="not enrolled",M8&lt;&gt;"not enrolled",O8&lt;&gt;"not enrolled")),ROUND(((E22-(E22*0.01057))/2),0), 0))))</f>
        <v>0</v>
      </c>
      <c r="N22" s="12"/>
      <c r="O22" s="12">
        <f>IF((AND(I8&lt;&gt;"not enrolled",K8&lt;&gt;"not enrolled",M8&lt;&gt;"not enrolled",O8&lt;&gt;"not enrolled")),ROUND(((E22-(E22*0.01057))/4),0), IF((AND(I8="not enrolled",K8&lt;&gt;"not enrolled",M8&lt;&gt;"not enrolled",O8&lt;&gt;"not enrolled")),ROUND(((E22-(E22*0.01057))/3),0), IF((AND(I8="not enrolled",K8="not enrolled",M8&lt;&gt;"not enrolled",O8&lt;&gt;"not enrolled")),ROUND(((E22-(E22*0.01057))/2),0),  IF((AND(I8="not enrolled",K8="not enrolled",M8="not enrolled",O8&lt;&gt;"not enrolled")),ROUND(((E22-(E22*0.01057))/1),0), 0))))</f>
        <v>0</v>
      </c>
    </row>
    <row r="23" spans="1:15" ht="21.75" customHeight="1" x14ac:dyDescent="0.25">
      <c r="B23" t="s">
        <v>9</v>
      </c>
      <c r="G23" s="17"/>
      <c r="I23" s="5">
        <f>IF((AND(I8&lt;&gt;"not enrolled",K8&lt;&gt;"not enrolled",M8&lt;&gt;"not enrolled",O8&lt;&gt;"not enrolled")),(G23/4), IF((AND(I8&lt;&gt;"not enrolled",K8&lt;&gt;"not enrolled",M8&lt;&gt;"not enrolled",O8="not enrolled")),(G23/3), IF((AND(I8&lt;&gt;"not enrolled",K8&lt;&gt;"not enrolled",M8="not enrolled",O8="not enrolled")),(G23/2), IF((AND(I8&lt;&gt;"not enrolled",K8="not enrolled",M8="not enrolled",O8="not enrolled")),(G23/1), 0))))</f>
        <v>0</v>
      </c>
      <c r="K23" s="5">
        <f>IF((AND(I8&lt;&gt;"not enrolled",K8&lt;&gt;"not enrolled",M8&lt;&gt;"not enrolled",O8&lt;&gt;"not enrolled")),(G23/4), IF((AND(I8&lt;&gt;"not enrolled",K8&lt;&gt;"not enrolled",M8&lt;&gt;"not enrolled",O8="not enrolled")),(G23/3), IF((AND(I8="not enrolled",K8&lt;&gt;"not enrolled",M8&lt;&gt;"not enrolled",O8&lt;&gt;"not enrolled")),(G23/3), IF((AND(I8&lt;&gt;"not enrolled",K8&lt;&gt;"not enrolled",M8="not enrolled",O8="not enrolled")),(G23/2), 0))))</f>
        <v>0</v>
      </c>
      <c r="M23" s="5">
        <f>IF((AND(I8&lt;&gt;"not enrolled",K8&lt;&gt;"not enrolled",M8&lt;&gt;"not enrolled",O8&lt;&gt;"not enrolled")),(G23/4), IF((AND(I8&lt;&gt;"not enrolled",K8&lt;&gt;"not enrolled",M8&lt;&gt;"not enrolled",O8="not enrolled")),(G23/3), IF((AND(I8="not enrolled",K8&lt;&gt;"not enrolled",M8&lt;&gt;"not enrolled",O8&lt;&gt;"not enrolled")),(G23/3), IF((AND(I8="not enrolled",K8="not enrolled",M8&lt;&gt;"not enrolled",O8&lt;&gt;"not enrolled")),(G23/2), 0))))</f>
        <v>0</v>
      </c>
      <c r="O23" s="5">
        <f>IF((AND(I8&lt;&gt;"not enrolled",K8&lt;&gt;"not enrolled",M8&lt;&gt;"not enrolled",O8&lt;&gt;"not enrolled")),(G23/4), IF((AND(I8="not enrolled",K8&lt;&gt;"not enrolled",M8&lt;&gt;"not enrolled",O8&lt;&gt;"not enrolled")),(G23/3), IF((AND(I8="not enrolled",K8="not enrolled",M8&lt;&gt;"not enrolled",O8&lt;&gt;"not enrolled")),(G23/2),  IF((AND(I8="not enrolled",K8="not enrolled",M8="not enrolled",O8&lt;&gt;"not enrolled")),(G23), 0))))</f>
        <v>0</v>
      </c>
    </row>
    <row r="24" spans="1:15" ht="21.75" customHeight="1" x14ac:dyDescent="0.25">
      <c r="B24" s="77" t="s">
        <v>23</v>
      </c>
      <c r="C24" s="77"/>
      <c r="D24" s="77"/>
      <c r="E24" s="77"/>
      <c r="F24" s="77"/>
      <c r="G24" s="28">
        <f>I24+K24+M24+O24</f>
        <v>0</v>
      </c>
      <c r="H24" s="27"/>
      <c r="I24" s="19"/>
      <c r="J24" s="27"/>
      <c r="K24" s="19"/>
      <c r="L24" s="33"/>
      <c r="M24" s="19"/>
      <c r="N24" s="33"/>
      <c r="O24" s="19"/>
    </row>
    <row r="25" spans="1:15" ht="21.75" customHeight="1" x14ac:dyDescent="0.25">
      <c r="C25" s="8" t="s">
        <v>10</v>
      </c>
      <c r="G25" s="5">
        <f>SUM(G19:G24)</f>
        <v>0</v>
      </c>
      <c r="I25" s="5">
        <f>SUM(I19:I24)</f>
        <v>0</v>
      </c>
      <c r="K25" s="5">
        <f>SUM(K19:K24)</f>
        <v>0</v>
      </c>
      <c r="M25" s="5">
        <f>SUM(M19:M24)</f>
        <v>0</v>
      </c>
      <c r="O25" s="5">
        <f>SUM(O19:O24)</f>
        <v>0</v>
      </c>
    </row>
    <row r="26" spans="1:15" ht="15.75" thickBot="1" x14ac:dyDescent="0.3"/>
    <row r="27" spans="1:15" ht="21.75" customHeight="1" thickTop="1" thickBot="1" x14ac:dyDescent="0.35">
      <c r="B27" s="15" t="s">
        <v>12</v>
      </c>
      <c r="C27" s="14"/>
      <c r="D27" s="14"/>
      <c r="E27" s="14"/>
      <c r="F27" s="14"/>
      <c r="G27" s="25">
        <f>G16-G25</f>
        <v>0</v>
      </c>
      <c r="H27" s="26"/>
      <c r="I27" s="25">
        <f>I16-I25</f>
        <v>0</v>
      </c>
      <c r="J27" s="26"/>
      <c r="K27" s="25">
        <f>K16-K25</f>
        <v>0</v>
      </c>
      <c r="L27" s="25"/>
      <c r="M27" s="25">
        <f>M16-M25</f>
        <v>0</v>
      </c>
      <c r="N27" s="25"/>
      <c r="O27" s="25">
        <f>O16-O25</f>
        <v>0</v>
      </c>
    </row>
    <row r="28" spans="1:15" ht="15.75" thickTop="1" x14ac:dyDescent="0.25"/>
    <row r="29" spans="1:15" x14ac:dyDescent="0.25">
      <c r="B29" s="8" t="s">
        <v>13</v>
      </c>
    </row>
    <row r="30" spans="1:15" ht="21.75" customHeight="1" x14ac:dyDescent="0.25">
      <c r="A30" s="51">
        <v>1</v>
      </c>
      <c r="B30" s="72" t="str">
        <f>IF((OR(G5="2023 Fall or 2024 Spring Quarter")),Data1!P11, IF((OR(G5="2024 Fall or 2025 Spring Quarter")), Data1!P12, "Please choose a starting term for your cohort above."))</f>
        <v>Please choose a starting term for your cohort above.</v>
      </c>
      <c r="C30" s="72"/>
      <c r="D30" s="72"/>
      <c r="E30" s="72"/>
      <c r="F30" s="72"/>
      <c r="G30" s="72"/>
      <c r="H30" s="72"/>
      <c r="I30" s="72"/>
      <c r="J30" s="72"/>
      <c r="K30" s="72"/>
      <c r="L30" s="72"/>
      <c r="M30" s="72"/>
      <c r="N30" s="72"/>
      <c r="O30" s="72"/>
    </row>
    <row r="31" spans="1:15" ht="19.5" customHeight="1" x14ac:dyDescent="0.25">
      <c r="A31" s="51">
        <v>2</v>
      </c>
      <c r="B31" s="71" t="s">
        <v>102</v>
      </c>
      <c r="C31" s="71"/>
      <c r="D31" s="71"/>
      <c r="E31" s="71"/>
      <c r="F31" s="71"/>
      <c r="G31" s="71"/>
      <c r="H31" s="71"/>
      <c r="I31" s="71"/>
      <c r="J31" s="71"/>
      <c r="K31" s="71"/>
      <c r="L31" s="71"/>
      <c r="M31" s="71"/>
      <c r="N31" s="71"/>
      <c r="O31" s="71"/>
    </row>
    <row r="32" spans="1:15" ht="32.25" customHeight="1" x14ac:dyDescent="0.25">
      <c r="A32" s="61">
        <v>3</v>
      </c>
      <c r="B32" s="72" t="s">
        <v>106</v>
      </c>
      <c r="C32" s="72"/>
      <c r="D32" s="72"/>
      <c r="E32" s="72"/>
      <c r="F32" s="72"/>
      <c r="G32" s="72"/>
      <c r="H32" s="72"/>
      <c r="I32" s="72"/>
      <c r="J32" s="72"/>
      <c r="K32" s="72"/>
      <c r="L32" s="72"/>
      <c r="M32" s="72"/>
      <c r="N32" s="72"/>
      <c r="O32" s="35"/>
    </row>
    <row r="33" spans="1:15" ht="33" customHeight="1" x14ac:dyDescent="0.25">
      <c r="A33" s="61">
        <v>4</v>
      </c>
      <c r="B33" s="72" t="s">
        <v>73</v>
      </c>
      <c r="C33" s="72"/>
      <c r="D33" s="72"/>
      <c r="E33" s="72"/>
      <c r="F33" s="72"/>
      <c r="G33" s="72"/>
      <c r="H33" s="72"/>
      <c r="I33" s="72"/>
      <c r="J33" s="72"/>
      <c r="K33" s="72"/>
      <c r="L33" s="72"/>
      <c r="M33" s="72"/>
      <c r="N33" s="72"/>
      <c r="O33" s="72"/>
    </row>
    <row r="34" spans="1:15" ht="61.5" customHeight="1" x14ac:dyDescent="0.25">
      <c r="A34" s="61">
        <v>5</v>
      </c>
      <c r="B34" s="72" t="s">
        <v>117</v>
      </c>
      <c r="C34" s="72"/>
      <c r="D34" s="72"/>
      <c r="E34" s="72"/>
      <c r="F34" s="72"/>
      <c r="G34" s="72"/>
      <c r="H34" s="72"/>
      <c r="I34" s="72"/>
      <c r="J34" s="72"/>
      <c r="K34" s="72"/>
      <c r="L34" s="72"/>
      <c r="M34" s="72"/>
      <c r="N34" s="72"/>
      <c r="O34" s="72"/>
    </row>
    <row r="35" spans="1:15" ht="21.75" customHeight="1" x14ac:dyDescent="0.25"/>
    <row r="37" spans="1:15" x14ac:dyDescent="0.25">
      <c r="B37" s="67" t="s">
        <v>14</v>
      </c>
      <c r="C37" s="67"/>
      <c r="D37" s="67"/>
      <c r="E37" s="67"/>
      <c r="F37" s="67"/>
      <c r="G37" s="67"/>
      <c r="H37" s="67"/>
      <c r="I37" s="67"/>
      <c r="J37" s="67"/>
      <c r="K37" s="67"/>
      <c r="L37" s="67"/>
      <c r="M37" s="67"/>
      <c r="N37" s="67"/>
      <c r="O37" s="67"/>
    </row>
  </sheetData>
  <sheetProtection algorithmName="SHA-512" hashValue="CR4heBihr+TlNmfGOL6yk1vHg5Ax+wQbOXTQO24eeinPa42ME7Nm+O3P4DOnenhVEQtGieiqYySTcKgzn81sWA==" saltValue="CoJwUpWB6zQt8JZYuI5YFA==" spinCount="100000" sheet="1" selectLockedCells="1"/>
  <mergeCells count="12">
    <mergeCell ref="G2:O2"/>
    <mergeCell ref="B31:O31"/>
    <mergeCell ref="B34:O34"/>
    <mergeCell ref="B37:O37"/>
    <mergeCell ref="C12:D12"/>
    <mergeCell ref="B24:F24"/>
    <mergeCell ref="B30:O30"/>
    <mergeCell ref="B14:D14"/>
    <mergeCell ref="B15:D15"/>
    <mergeCell ref="B33:O33"/>
    <mergeCell ref="G5:I5"/>
    <mergeCell ref="B32:N32"/>
  </mergeCells>
  <phoneticPr fontId="19" type="noConversion"/>
  <hyperlinks>
    <hyperlink ref="B14" r:id="rId1" display="Will you enroll in DU's health insurance plan?" xr:uid="{00000000-0004-0000-0500-000000000000}"/>
    <hyperlink ref="B15" r:id="rId2" display="Will you use DU Health &amp; Counseling Services? " xr:uid="{00000000-0004-0000-0500-000001000000}"/>
  </hyperlinks>
  <pageMargins left="0.5" right="0.5" top="0.5" bottom="0.5" header="0.3" footer="0.3"/>
  <pageSetup scale="72" orientation="portrait"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0000000}">
          <x14:formula1>
            <xm:f>Data1!$F$2:$F$22</xm:f>
          </x14:formula1>
          <xm:sqref>O8 I8 K8 M8</xm:sqref>
        </x14:dataValidation>
        <x14:dataValidation type="list" allowBlank="1" showInputMessage="1" showErrorMessage="1" xr:uid="{00000000-0002-0000-0500-000001000000}">
          <x14:formula1>
            <xm:f>Data1!$A$25:$A$26</xm:f>
          </x14:formula1>
          <xm:sqref>E14</xm:sqref>
        </x14:dataValidation>
        <x14:dataValidation type="list" allowBlank="1" showInputMessage="1" showErrorMessage="1" xr:uid="{5AFD9E5A-06A5-4EA3-A5F2-68B885EE7B1B}">
          <x14:formula1>
            <xm:f>Data1!$A$36:$A$37</xm:f>
          </x14:formula1>
          <xm:sqref>G5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O32"/>
  <sheetViews>
    <sheetView showGridLines="0" showRowColHeaders="0" showRuler="0" zoomScaleNormal="100" workbookViewId="0">
      <selection activeCell="I6" sqref="I6"/>
    </sheetView>
  </sheetViews>
  <sheetFormatPr defaultColWidth="8.85546875" defaultRowHeight="15" x14ac:dyDescent="0.25"/>
  <cols>
    <col min="1" max="1" width="4.140625" customWidth="1"/>
    <col min="4" max="4" width="14" customWidth="1"/>
    <col min="5" max="5" width="13.85546875" customWidth="1"/>
    <col min="6" max="6" width="12.140625" customWidth="1"/>
    <col min="7" max="7" width="15" style="5" customWidth="1"/>
    <col min="8" max="8" width="2.85546875" customWidth="1"/>
    <col min="9" max="9" width="15" style="5" customWidth="1"/>
    <col min="10" max="10" width="2.85546875" customWidth="1"/>
    <col min="11" max="11" width="15" style="5" customWidth="1"/>
    <col min="12" max="12" width="2.85546875" style="5" customWidth="1"/>
    <col min="13" max="13" width="15" style="5" customWidth="1"/>
    <col min="14" max="14" width="2.85546875" style="5" customWidth="1"/>
    <col min="15" max="15" width="15" style="5" customWidth="1"/>
  </cols>
  <sheetData>
    <row r="1" spans="2:15" ht="17.25" customHeight="1" x14ac:dyDescent="0.25"/>
    <row r="2" spans="2:15" ht="47.25" customHeight="1" x14ac:dyDescent="0.35">
      <c r="G2" s="68" t="s">
        <v>119</v>
      </c>
      <c r="H2" s="68"/>
      <c r="I2" s="68"/>
      <c r="J2" s="68"/>
      <c r="K2" s="68"/>
      <c r="L2" s="68"/>
      <c r="M2" s="68"/>
      <c r="N2" s="68"/>
      <c r="O2" s="68"/>
    </row>
    <row r="3" spans="2:15" ht="8.25" customHeight="1" x14ac:dyDescent="0.25">
      <c r="B3" s="20"/>
      <c r="C3" s="20"/>
      <c r="D3" s="20"/>
      <c r="E3" s="20"/>
      <c r="F3" s="20"/>
      <c r="G3" s="21"/>
      <c r="H3" s="22"/>
      <c r="I3" s="22"/>
      <c r="J3" s="22"/>
      <c r="K3" s="22"/>
      <c r="L3" s="22"/>
      <c r="M3" s="22"/>
      <c r="N3" s="22"/>
      <c r="O3" s="22"/>
    </row>
    <row r="4" spans="2:15" ht="21" customHeight="1" x14ac:dyDescent="0.3">
      <c r="C4" s="6" t="s">
        <v>20</v>
      </c>
      <c r="G4" s="83" t="s">
        <v>101</v>
      </c>
      <c r="H4" s="84"/>
      <c r="I4" s="85"/>
    </row>
    <row r="5" spans="2:15" ht="15" customHeight="1" x14ac:dyDescent="0.25">
      <c r="I5" s="57" t="s">
        <v>91</v>
      </c>
      <c r="K5" s="57" t="s">
        <v>92</v>
      </c>
      <c r="L5" s="34"/>
      <c r="M5" s="57" t="s">
        <v>93</v>
      </c>
      <c r="N5" s="34"/>
      <c r="O5" s="57" t="s">
        <v>94</v>
      </c>
    </row>
    <row r="6" spans="2:15" ht="18" customHeight="1" x14ac:dyDescent="0.3">
      <c r="C6" s="6" t="s">
        <v>44</v>
      </c>
      <c r="E6" s="29"/>
      <c r="F6" s="29"/>
      <c r="G6" s="29"/>
      <c r="H6" s="29"/>
      <c r="I6" s="54" t="s">
        <v>63</v>
      </c>
      <c r="K6" s="55" t="s">
        <v>63</v>
      </c>
      <c r="L6"/>
      <c r="M6" s="56" t="s">
        <v>63</v>
      </c>
      <c r="N6"/>
      <c r="O6" s="56" t="s">
        <v>63</v>
      </c>
    </row>
    <row r="7" spans="2:15" ht="18.75" customHeight="1" x14ac:dyDescent="0.25"/>
    <row r="8" spans="2:15" ht="15.75" thickBot="1" x14ac:dyDescent="0.3">
      <c r="B8" s="1" t="s">
        <v>7</v>
      </c>
      <c r="C8" s="2"/>
      <c r="D8" s="2"/>
      <c r="E8" s="2"/>
      <c r="F8" s="2"/>
      <c r="G8" s="4" t="s">
        <v>3</v>
      </c>
      <c r="H8" s="3"/>
      <c r="I8" s="4" t="s">
        <v>95</v>
      </c>
      <c r="J8" s="3"/>
      <c r="K8" s="4" t="s">
        <v>96</v>
      </c>
      <c r="L8" s="4"/>
      <c r="M8" s="4" t="s">
        <v>97</v>
      </c>
      <c r="N8" s="4"/>
      <c r="O8" s="4" t="s">
        <v>98</v>
      </c>
    </row>
    <row r="9" spans="2:15" ht="9" customHeight="1" x14ac:dyDescent="0.25"/>
    <row r="10" spans="2:15" ht="21.75" customHeight="1" x14ac:dyDescent="0.25">
      <c r="B10" s="10" t="s">
        <v>1</v>
      </c>
      <c r="C10" s="76"/>
      <c r="D10" s="76"/>
      <c r="E10" s="11"/>
      <c r="F10" s="11"/>
      <c r="G10" s="12">
        <f>I10+K10+M10+O10</f>
        <v>0</v>
      </c>
      <c r="H10" s="11"/>
      <c r="I10" s="12">
        <f>IF((OR(G4="2026 Fall Quarter")), (VLOOKUP(I6,Data1!E25:F43, 2, FALSE)), IF((OR(G4="2025 Fall Quarter")), (VLOOKUP(I6, Data1!E25:N43, 10, FALSE)), 0))</f>
        <v>0</v>
      </c>
      <c r="J10" s="11"/>
      <c r="K10" s="12">
        <f>IF((OR(G4="2026 Fall Quarter")), (VLOOKUP(K6,Data1!E25:N43, 2, FALSE)), IF((OR(G4="2025 Fall Quarter")), (VLOOKUP(K6, Data1!E25:N43, 10, FALSE)), 0))</f>
        <v>0</v>
      </c>
      <c r="L10" s="12"/>
      <c r="M10" s="12">
        <f>IF((OR(G4="2026 Fall Quarter")), (VLOOKUP(M6,Data1!E25:F43, 2, FALSE)), IF((OR(G4="2025 Fall Quarter")), (VLOOKUP(M6, Data1!E25:N43, 10, FALSE)), 0))</f>
        <v>0</v>
      </c>
      <c r="N10" s="12"/>
      <c r="O10" s="12">
        <f>IF((OR(G4="2026 Fall Quarter")), (VLOOKUP(O6,Data1!E25:F43, 2, FALSE)), IF((OR(G4="2025 Fall Quarter")), (VLOOKUP(O6, Data1!E25:N43, 10, FALSE)), 0))</f>
        <v>0</v>
      </c>
    </row>
    <row r="11" spans="2:15" ht="21.75" customHeight="1" x14ac:dyDescent="0.25">
      <c r="B11" s="35" t="s">
        <v>2</v>
      </c>
      <c r="G11" s="36">
        <f>I11+K11+M11+O11</f>
        <v>0</v>
      </c>
      <c r="I11" s="36">
        <f>VLOOKUP(I6,Data1!K25:M43,3,FALSE)</f>
        <v>0</v>
      </c>
      <c r="K11" s="36">
        <f>VLOOKUP(K6,Data1!K25:M43,3,FALSE)</f>
        <v>0</v>
      </c>
      <c r="L11" s="36"/>
      <c r="M11" s="36">
        <f>VLOOKUP(M6,Data1!K25:M43,3,FALSE)</f>
        <v>0</v>
      </c>
      <c r="N11" s="36"/>
      <c r="O11" s="36">
        <f>VLOOKUP(O6,Data1!K25:M43,3,FALSE)</f>
        <v>0</v>
      </c>
    </row>
    <row r="12" spans="2:15" ht="21.75" customHeight="1" x14ac:dyDescent="0.25">
      <c r="B12" s="20"/>
      <c r="C12" s="40" t="s">
        <v>6</v>
      </c>
      <c r="D12" s="20"/>
      <c r="E12" s="20"/>
      <c r="F12" s="20"/>
      <c r="G12" s="41">
        <f>SUM(G10:G11)</f>
        <v>0</v>
      </c>
      <c r="H12" s="20"/>
      <c r="I12" s="41">
        <f>SUM(I10:I11)</f>
        <v>0</v>
      </c>
      <c r="J12" s="20"/>
      <c r="K12" s="41">
        <f>SUM(K10:K11)</f>
        <v>0</v>
      </c>
      <c r="L12" s="41"/>
      <c r="M12" s="41">
        <f>SUM(M10:M11)</f>
        <v>0</v>
      </c>
      <c r="N12" s="41"/>
      <c r="O12" s="41">
        <f>SUM(O10:O11)</f>
        <v>0</v>
      </c>
    </row>
    <row r="13" spans="2:15" ht="24" customHeight="1" x14ac:dyDescent="0.25"/>
    <row r="14" spans="2:15" ht="15.75" thickBot="1" x14ac:dyDescent="0.3">
      <c r="B14" s="1" t="s">
        <v>11</v>
      </c>
      <c r="C14" s="2"/>
      <c r="D14" s="2"/>
      <c r="E14" s="2"/>
      <c r="F14" s="2"/>
      <c r="G14" s="4" t="s">
        <v>3</v>
      </c>
      <c r="H14" s="3"/>
      <c r="I14" s="4" t="s">
        <v>95</v>
      </c>
      <c r="J14" s="3"/>
      <c r="K14" s="4" t="s">
        <v>96</v>
      </c>
      <c r="L14" s="4"/>
      <c r="M14" s="4" t="s">
        <v>97</v>
      </c>
      <c r="N14" s="4"/>
      <c r="O14" s="4" t="s">
        <v>98</v>
      </c>
    </row>
    <row r="15" spans="2:15" ht="21.75" customHeight="1" x14ac:dyDescent="0.25">
      <c r="B15" t="s">
        <v>16</v>
      </c>
      <c r="G15" s="16"/>
      <c r="I15" s="5">
        <f>IF((AND(I6&lt;&gt;"not enrolled",K6&lt;&gt;"not enrolled",M6&lt;&gt;"not enrolled",O6&lt;&gt;"not enrolled")),(G15/4), IF((AND(I6&lt;&gt;"not enrolled",K6&lt;&gt;"not enrolled",M6&lt;&gt;"not enrolled",O6="not enrolled")),(G15/3), IF((AND(I6&lt;&gt;"not enrolled",K6&lt;&gt;"not enrolled",M6="not enrolled",O6="not enrolled")),(G15/2), IF((AND(I6&lt;&gt;"not enrolled",K6="not enrolled",M6="not enrolled",O6="not enrolled")),(G15/1), 0))))</f>
        <v>0</v>
      </c>
      <c r="K15" s="5">
        <f>IF((AND(I6&lt;&gt;"not enrolled",K6&lt;&gt;"not enrolled",M6&lt;&gt;"not enrolled",O6&lt;&gt;"not enrolled")),(G15/4), IF((AND(I6&lt;&gt;"not enrolled",K6&lt;&gt;"not enrolled",M6&lt;&gt;"not enrolled",O6="not enrolled")),(G15/3), IF((AND(I6="not enrolled",K6&lt;&gt;"not enrolled",M6&lt;&gt;"not enrolled",O6&lt;&gt;"not enrolled")),(G15/3), IF((AND(I6&lt;&gt;"not enrolled",K6&lt;&gt;"not enrolled",M6="not enrolled",O6="not enrolled")),(G15/2), 0))))</f>
        <v>0</v>
      </c>
      <c r="M15" s="5">
        <f>IF((AND(I6&lt;&gt;"not enrolled",K6&lt;&gt;"not enrolled",M6&lt;&gt;"not enrolled",O6&lt;&gt;"not enrolled")),(G15/4), IF((AND(I6&lt;&gt;"not enrolled",K6&lt;&gt;"not enrolled",M6&lt;&gt;"not enrolled",O6="not enrolled")),(G15/3), IF((AND(I6="not enrolled",K6&lt;&gt;"not enrolled",M6&lt;&gt;"not enrolled",O6&lt;&gt;"not enrolled")),(G15/3), IF((AND(I6="not enrolled",K6="not enrolled",M6&lt;&gt;"not enrolled",O6&lt;&gt;"not enrolled")),(G15/2), 0))))</f>
        <v>0</v>
      </c>
      <c r="O15" s="5">
        <f>IF((AND(I6&lt;&gt;"not enrolled",K6&lt;&gt;"not enrolled",M6&lt;&gt;"not enrolled",O6&lt;&gt;"not enrolled")),(G15/4), IF((AND(I6="not enrolled",K6&lt;&gt;"not enrolled",M6&lt;&gt;"not enrolled",O6&lt;&gt;"not enrolled")),(G15/3), IF((AND(I6="not enrolled",K6="not enrolled",M6&lt;&gt;"not enrolled",O6&lt;&gt;"not enrolled")),(G15/2),  IF((AND(I6="not enrolled",K6="not enrolled",M6="not enrolled",O6&lt;&gt;"not enrolled")),(G15), 0))))</f>
        <v>0</v>
      </c>
    </row>
    <row r="16" spans="2:15" ht="21.75" customHeight="1" x14ac:dyDescent="0.25">
      <c r="B16" s="11" t="s">
        <v>8</v>
      </c>
      <c r="C16" s="11"/>
      <c r="D16" s="11"/>
      <c r="E16" s="11"/>
      <c r="F16" s="11"/>
      <c r="G16" s="17"/>
      <c r="H16" s="11"/>
      <c r="I16" s="12">
        <f>IF((AND(I6&lt;&gt;"not enrolled",K6&lt;&gt;"not enrolled",M6&lt;&gt;"not enrolled",O6&lt;&gt;"not enrolled")),(G16/4), IF((AND(I6&lt;&gt;"not enrolled",K6&lt;&gt;"not enrolled",M6&lt;&gt;"not enrolled",O6="not enrolled")),(G16/3), IF((AND(I6&lt;&gt;"not enrolled",K6&lt;&gt;"not enrolled",M6="not enrolled",O6="not enrolled")),(G16/2), IF((AND(I6&lt;&gt;"not enrolled",K6="not enrolled",M6="not enrolled",O6="not enrolled")),(G16/1), 0))))</f>
        <v>0</v>
      </c>
      <c r="J16" s="11"/>
      <c r="K16" s="12">
        <f>IF((AND(I6&lt;&gt;"not enrolled",K6&lt;&gt;"not enrolled",M6&lt;&gt;"not enrolled",O6&lt;&gt;"not enrolled")),(G16/4), IF((AND(I6&lt;&gt;"not enrolled",K6&lt;&gt;"not enrolled",M6&lt;&gt;"not enrolled",O6="not enrolled")),(G16/3), IF((AND(I6="not enrolled",K6&lt;&gt;"not enrolled",M6&lt;&gt;"not enrolled",O6&lt;&gt;"not enrolled")),(G16/3), IF((AND(I6&lt;&gt;"not enrolled",K6&lt;&gt;"not enrolled",M6="not enrolled",O6="not enrolled")),(G16/2), 0))))</f>
        <v>0</v>
      </c>
      <c r="L16" s="12"/>
      <c r="M16" s="12">
        <f>IF((AND(I6&lt;&gt;"not enrolled",K6&lt;&gt;"not enrolled",M6&lt;&gt;"not enrolled",O6&lt;&gt;"not enrolled")),(G16/4), IF((AND(I6&lt;&gt;"not enrolled",K6&lt;&gt;"not enrolled",M6&lt;&gt;"not enrolled",O6="not enrolled")),(G16/3), IF((AND(I6="not enrolled",K6&lt;&gt;"not enrolled",M6&lt;&gt;"not enrolled",O6&lt;&gt;"not enrolled")),(G16/3), IF((AND(I6="not enrolled",K6="not enrolled",M6&lt;&gt;"not enrolled",O6&lt;&gt;"not enrolled")),(G16/2), 0))))</f>
        <v>0</v>
      </c>
      <c r="N16" s="12"/>
      <c r="O16" s="12">
        <f>IF((AND(I6&lt;&gt;"not enrolled",K6&lt;&gt;"not enrolled",M6&lt;&gt;"not enrolled",O6&lt;&gt;"not enrolled")),(G16/4), IF((AND(I6="not enrolled",K6&lt;&gt;"not enrolled",M6&lt;&gt;"not enrolled",O6&lt;&gt;"not enrolled")),(G16/3), IF((AND(I6="not enrolled",K6="not enrolled",M6&lt;&gt;"not enrolled",O6&lt;&gt;"not enrolled")),(G16/2),  IF((AND(I6="not enrolled",K6="not enrolled",M6="not enrolled",O6&lt;&gt;"not enrolled")),(G16), 0))))</f>
        <v>0</v>
      </c>
    </row>
    <row r="17" spans="2:15" ht="21.75" customHeight="1" x14ac:dyDescent="0.25">
      <c r="B17" t="s">
        <v>18</v>
      </c>
      <c r="E17" s="18"/>
      <c r="G17" s="5">
        <f>SUM(I17,K17,M17,O17)</f>
        <v>0</v>
      </c>
      <c r="I17" s="5">
        <f>IF((AND(I6&lt;&gt;"not enrolled",K6&lt;&gt;"not enrolled",M6&lt;&gt;"not enrolled",O6&lt;&gt;"not enrolled")),ROUND(((E17-(E17*0.01057))/4),0), IF((AND(I6&lt;&gt;"not enrolled",K6&lt;&gt;"not enrolled",M6&lt;&gt;"not enrolled",O6="not enrolled")),ROUND(((E17-(E17*0.01057))/3),0), IF((AND(I6&lt;&gt;"not enrolled",K6&lt;&gt;"not enrolled",M6="not enrolled",O6="not enrolled")),ROUND(((E17-(E17*0.01057))/2),0), IF((AND(I6&lt;&gt;"not enrolled",K6="not enrolled",M6="not enrolled",O6="not enrolled")),ROUND(((E17-(E17*0.01057))/1),0), 0))))</f>
        <v>0</v>
      </c>
      <c r="K17" s="5">
        <f>IF((AND(I6&lt;&gt;"not enrolled",K6&lt;&gt;"not enrolled",M6&lt;&gt;"not enrolled",O6&lt;&gt;"not enrolled")),ROUND(((E17-(E17*0.01057))/4),0), IF((AND(I6&lt;&gt;"not enrolled",K6&lt;&gt;"not enrolled",M6&lt;&gt;"not enrolled",O6="not enrolled")),ROUND(((E17-(E17*0.01057))/3),0), IF((AND(I6="not enrolled",K6&lt;&gt;"not enrolled",M6&lt;&gt;"not enrolled",O6&lt;&gt;"not enrolled")),ROUND(((E17-(E17*0.01057))/3),0), IF((AND(I6&lt;&gt;"not enrolled",K6&lt;&gt;"not enrolled",M6="not enrolled",O6="not enrolled")),ROUND(((E17-(E17*0.01057))/2),0), 0))))</f>
        <v>0</v>
      </c>
      <c r="M17" s="5">
        <f>IF((AND(I6&lt;&gt;"not enrolled",K6&lt;&gt;"not enrolled",M6&lt;&gt;"not enrolled",O6&lt;&gt;"not enrolled")),ROUND(((E17-(E17*0.01057))/4),0), IF((AND(I6&lt;&gt;"not enrolled",K6&lt;&gt;"not enrolled",M6&lt;&gt;"not enrolled",O6="not enrolled")),ROUND(((E17-(E17*0.01057))/3),0), IF((AND(I6="not enrolled",K6&lt;&gt;"not enrolled",M6&lt;&gt;"not enrolled",O6&lt;&gt;"not enrolled")),ROUND(((E17-(E17*0.01057))/3),0), IF((AND(I6="not enrolled",K6="not enrolled",M6&lt;&gt;"not enrolled",O6&lt;&gt;"not enrolled")),ROUND(((E17-(E17*0.01057))/2),0), 0))))</f>
        <v>0</v>
      </c>
      <c r="O17" s="5">
        <f>IF((AND(I6&lt;&gt;"not enrolled",K6&lt;&gt;"not enrolled",M6&lt;&gt;"not enrolled",O6&lt;&gt;"not enrolled")),ROUND(((E17-(E17*0.01057))/4),0), IF((AND(I6="not enrolled",K6&lt;&gt;"not enrolled",M6&lt;&gt;"not enrolled",O6&lt;&gt;"not enrolled")),ROUND(((E17-(E17*0.01057))/3),0), IF((AND(I6="not enrolled",K6="not enrolled",M6&lt;&gt;"not enrolled",O6&lt;&gt;"not enrolled")),ROUND(((E17-(E17*0.01057))/2),0),  IF((AND(I6="not enrolled",K6="not enrolled",M6="not enrolled",O6&lt;&gt;"not enrolled")),ROUND(((E17-(E17*0.01057))/1),0), 0))))</f>
        <v>0</v>
      </c>
    </row>
    <row r="18" spans="2:15" ht="21.75" customHeight="1" x14ac:dyDescent="0.25">
      <c r="B18" s="11" t="s">
        <v>19</v>
      </c>
      <c r="C18" s="11"/>
      <c r="D18" s="11"/>
      <c r="E18" s="18"/>
      <c r="F18" s="11"/>
      <c r="G18" s="12">
        <f>SUM(I18,K18,M18,O18)</f>
        <v>0</v>
      </c>
      <c r="H18" s="11"/>
      <c r="I18" s="12">
        <f>IF((AND(I6&lt;&gt;"not enrolled",K6&lt;&gt;"not enrolled",M6&lt;&gt;"not enrolled",O6&lt;&gt;"not enrolled")),ROUND(((E18-(E18*0.04228))/4),0), IF((AND(I6&lt;&gt;"not enrolled",K6&lt;&gt;"not enrolled",M6&lt;&gt;"not enrolled",O6="not enrolled")),ROUND(((E18-(E18*0.04228))/3),0), IF((AND(I6&lt;&gt;"not enrolled",K6&lt;&gt;"not enrolled",M6="not enrolled",O6="not enrolled")),ROUND(((E18-(E18*0.04228))/2),0), IF((AND(I6&lt;&gt;"not enrolled",K6="not enrolled",M6="not enrolled",O6="not enrolled")),ROUND(((E18-(E18*0.04228))/1),0), 0))))</f>
        <v>0</v>
      </c>
      <c r="J18" s="11"/>
      <c r="K18" s="12">
        <f>IF((AND(I6&lt;&gt;"not enrolled",K6&lt;&gt;"not enrolled",M6&lt;&gt;"not enrolled",O6&lt;&gt;"not enrolled")),ROUND(((E18-(E18*0.04228))/4),0), IF((AND(I6&lt;&gt;"not enrolled",K6&lt;&gt;"not enrolled",M6&lt;&gt;"not enrolled",O6="not enrolled")),ROUND(((E18-(E18*0.04228))/3),0), IF((AND(I6="not enrolled",K6&lt;&gt;"not enrolled",M6&lt;&gt;"not enrolled",O6&lt;&gt;"not enrolled")),ROUND(((E18-(E18*0.04228))/3),0), IF((AND(I6&lt;&gt;"not enrolled",K6&lt;&gt;"not enrolled",M6="not enrolled",O6="not enrolled")),ROUND(((E18-(E18*0.04228))/2),0), 0))))</f>
        <v>0</v>
      </c>
      <c r="L18" s="12"/>
      <c r="M18" s="12">
        <f>IF((AND(I6&lt;&gt;"not enrolled",K6&lt;&gt;"not enrolled",M6&lt;&gt;"not enrolled",O6&lt;&gt;"not enrolled")),ROUND(((E18-(E18*0.04228))/4),0), IF((AND(I6&lt;&gt;"not enrolled",K6&lt;&gt;"not enrolled",M6&lt;&gt;"not enrolled",O6="not enrolled")),ROUND(((E18-(E18*0.04228))/3),0), IF((AND(I6="not enrolled",K6&lt;&gt;"not enrolled",M6&lt;&gt;"not enrolled",O6&lt;&gt;"not enrolled")),ROUND(((E18-(E18*0.04228))/3),0), IF((AND(I6="not enrolled",K6="not enrolled",M6&lt;&gt;"not enrolled",O6&lt;&gt;"not enrolled")),ROUND(((E18-(E18*0.04228))/2),0), 0))))</f>
        <v>0</v>
      </c>
      <c r="N18" s="12"/>
      <c r="O18" s="12">
        <f>IF((AND(I6&lt;&gt;"not enrolled",K6&lt;&gt;"not enrolled",M6&lt;&gt;"not enrolled",O6&lt;&gt;"not enrolled")),ROUND(((E18-(E18*0.04228))/4),0), IF((AND(I6="not enrolled",K6&lt;&gt;"not enrolled",M6&lt;&gt;"not enrolled",O6&lt;&gt;"not enrolled")),ROUND(((E18-(E18*0.04228))/3),0), IF((AND(I6="not enrolled",K6="not enrolled",M6&lt;&gt;"not enrolled",O6&lt;&gt;"not enrolled")),ROUND(((E18-(E18*0.04228))/2),0),  IF((AND(I6="not enrolled",K6="not enrolled",M6="not enrolled",O6&lt;&gt;"not enrolled")),ROUND(((E18-(E18*0.04228))/1),0), 0))))</f>
        <v>0</v>
      </c>
    </row>
    <row r="19" spans="2:15" ht="21.75" customHeight="1" x14ac:dyDescent="0.25">
      <c r="B19" t="s">
        <v>9</v>
      </c>
      <c r="G19" s="17"/>
      <c r="I19" s="5">
        <f>IF((AND(I6&lt;&gt;"not enrolled",K6&lt;&gt;"not enrolled",M6&lt;&gt;"not enrolled",O6&lt;&gt;"not enrolled")),(G19/4), IF((AND(I6&lt;&gt;"not enrolled",K6&lt;&gt;"not enrolled",M6&lt;&gt;"not enrolled",O6="not enrolled")),(G19/3), IF((AND(I6&lt;&gt;"not enrolled",K6&lt;&gt;"not enrolled",M6="not enrolled",O6="not enrolled")),(G19/2), IF((AND(I6&lt;&gt;"not enrolled",K6="not enrolled",M6="not enrolled",O6="not enrolled")),(G19/1), 0))))</f>
        <v>0</v>
      </c>
      <c r="K19" s="5">
        <f>IF((AND(I6&lt;&gt;"not enrolled",K6&lt;&gt;"not enrolled",M6&lt;&gt;"not enrolled",O6&lt;&gt;"not enrolled")),(G19/4), IF((AND(I6&lt;&gt;"not enrolled",K6&lt;&gt;"not enrolled",M6&lt;&gt;"not enrolled",O6="not enrolled")),(G19/3), IF((AND(I6="not enrolled",K6&lt;&gt;"not enrolled",M6&lt;&gt;"not enrolled",O6&lt;&gt;"not enrolled")),(G19/3), IF((AND(I6&lt;&gt;"not enrolled",K6&lt;&gt;"not enrolled",M6="not enrolled",O6="not enrolled")),(G19/2), 0))))</f>
        <v>0</v>
      </c>
      <c r="M19" s="5">
        <f>IF((AND(I6&lt;&gt;"not enrolled",K6&lt;&gt;"not enrolled",M6&lt;&gt;"not enrolled",O6&lt;&gt;"not enrolled")),(G19/4), IF((AND(I6&lt;&gt;"not enrolled",K6&lt;&gt;"not enrolled",M6&lt;&gt;"not enrolled",O6="not enrolled")),(G19/3), IF((AND(I6="not enrolled",K6&lt;&gt;"not enrolled",M6&lt;&gt;"not enrolled",O6&lt;&gt;"not enrolled")),(G19/3), IF((AND(I6="not enrolled",K6="not enrolled",M6&lt;&gt;"not enrolled",O6&lt;&gt;"not enrolled")),(G19/2), 0))))</f>
        <v>0</v>
      </c>
      <c r="O19" s="5">
        <f>IF((AND(I6&lt;&gt;"not enrolled",K6&lt;&gt;"not enrolled",M6&lt;&gt;"not enrolled",O6&lt;&gt;"not enrolled")),(G19/4), IF((AND(I6="not enrolled",K6&lt;&gt;"not enrolled",M6&lt;&gt;"not enrolled",O6&lt;&gt;"not enrolled")),(G19/3), IF((AND(I6="not enrolled",K6="not enrolled",M6&lt;&gt;"not enrolled",O6&lt;&gt;"not enrolled")),(G19/2),  IF((AND(I6="not enrolled",K6="not enrolled",M6="not enrolled",O6&lt;&gt;"not enrolled")),(G19), 0))))</f>
        <v>0</v>
      </c>
    </row>
    <row r="20" spans="2:15" ht="21.75" customHeight="1" x14ac:dyDescent="0.25">
      <c r="B20" s="77" t="s">
        <v>23</v>
      </c>
      <c r="C20" s="77"/>
      <c r="D20" s="77"/>
      <c r="E20" s="77"/>
      <c r="F20" s="77"/>
      <c r="G20" s="28">
        <f>I20+K20+M20+O20</f>
        <v>0</v>
      </c>
      <c r="H20" s="27"/>
      <c r="I20" s="19"/>
      <c r="J20" s="27"/>
      <c r="K20" s="19"/>
      <c r="L20" s="33"/>
      <c r="M20" s="19"/>
      <c r="N20" s="33"/>
      <c r="O20" s="19"/>
    </row>
    <row r="21" spans="2:15" ht="21.75" customHeight="1" x14ac:dyDescent="0.25">
      <c r="C21" s="8" t="s">
        <v>10</v>
      </c>
      <c r="G21" s="5">
        <f>SUM(G15:G20)</f>
        <v>0</v>
      </c>
      <c r="I21" s="5">
        <f>SUM(I15:I20)</f>
        <v>0</v>
      </c>
      <c r="K21" s="5">
        <f>SUM(K15:K20)</f>
        <v>0</v>
      </c>
      <c r="M21" s="5">
        <f>SUM(M15:M20)</f>
        <v>0</v>
      </c>
      <c r="O21" s="5">
        <f>SUM(O15:O20)</f>
        <v>0</v>
      </c>
    </row>
    <row r="22" spans="2:15" ht="15.75" thickBot="1" x14ac:dyDescent="0.3"/>
    <row r="23" spans="2:15" ht="21.75" customHeight="1" thickTop="1" thickBot="1" x14ac:dyDescent="0.35">
      <c r="B23" s="15" t="s">
        <v>12</v>
      </c>
      <c r="C23" s="14"/>
      <c r="D23" s="14"/>
      <c r="E23" s="14"/>
      <c r="F23" s="14"/>
      <c r="G23" s="25">
        <f>G12-G21</f>
        <v>0</v>
      </c>
      <c r="H23" s="26"/>
      <c r="I23" s="25">
        <f>I12-I21</f>
        <v>0</v>
      </c>
      <c r="J23" s="26"/>
      <c r="K23" s="25">
        <f>K12-K21</f>
        <v>0</v>
      </c>
      <c r="L23" s="25"/>
      <c r="M23" s="25">
        <f>M12-M21</f>
        <v>0</v>
      </c>
      <c r="N23" s="25"/>
      <c r="O23" s="25">
        <f>O12-O21</f>
        <v>0</v>
      </c>
    </row>
    <row r="24" spans="2:15" ht="15.75" thickTop="1" x14ac:dyDescent="0.25"/>
    <row r="25" spans="2:15" x14ac:dyDescent="0.25">
      <c r="B25" s="8" t="s">
        <v>13</v>
      </c>
    </row>
    <row r="26" spans="2:15" ht="18" customHeight="1" x14ac:dyDescent="0.25">
      <c r="B26" s="74" t="s">
        <v>112</v>
      </c>
      <c r="C26" s="72"/>
      <c r="D26" s="72"/>
      <c r="E26" s="72"/>
      <c r="F26" s="72"/>
      <c r="G26" s="72"/>
      <c r="H26" s="72"/>
      <c r="I26" s="72"/>
      <c r="J26" s="72"/>
      <c r="K26" s="72"/>
      <c r="L26" s="72"/>
      <c r="M26" s="72"/>
      <c r="N26" s="72"/>
      <c r="O26" s="72"/>
    </row>
    <row r="27" spans="2:15" ht="19.899999999999999" customHeight="1" x14ac:dyDescent="0.25">
      <c r="B27" s="71" t="s">
        <v>109</v>
      </c>
      <c r="C27" s="71"/>
      <c r="D27" s="71"/>
      <c r="E27" s="71"/>
      <c r="F27" s="71"/>
      <c r="G27" s="71"/>
      <c r="H27" s="71"/>
      <c r="I27" s="71"/>
      <c r="J27" s="71"/>
      <c r="K27" s="71"/>
      <c r="L27" s="71"/>
      <c r="M27" s="71"/>
      <c r="N27" s="71"/>
      <c r="O27" s="71"/>
    </row>
    <row r="28" spans="2:15" ht="31.15" customHeight="1" x14ac:dyDescent="0.25">
      <c r="B28" s="72" t="s">
        <v>76</v>
      </c>
      <c r="C28" s="72"/>
      <c r="D28" s="72"/>
      <c r="E28" s="72"/>
      <c r="F28" s="72"/>
      <c r="G28" s="72"/>
      <c r="H28" s="72"/>
      <c r="I28" s="72"/>
      <c r="J28" s="72"/>
      <c r="K28" s="72"/>
      <c r="L28" s="72"/>
      <c r="M28" s="72"/>
      <c r="N28" s="72"/>
      <c r="O28" s="72"/>
    </row>
    <row r="29" spans="2:15" ht="63" customHeight="1" x14ac:dyDescent="0.25">
      <c r="B29" s="72" t="s">
        <v>120</v>
      </c>
      <c r="C29" s="72"/>
      <c r="D29" s="72"/>
      <c r="E29" s="72"/>
      <c r="F29" s="72"/>
      <c r="G29" s="72"/>
      <c r="H29" s="72"/>
      <c r="I29" s="72"/>
      <c r="J29" s="72"/>
      <c r="K29" s="72"/>
      <c r="L29" s="72"/>
      <c r="M29" s="72"/>
      <c r="N29" s="72"/>
      <c r="O29" s="72"/>
    </row>
    <row r="30" spans="2:15" ht="21.75" customHeight="1" x14ac:dyDescent="0.25"/>
    <row r="32" spans="2:15" x14ac:dyDescent="0.25">
      <c r="B32" s="67" t="s">
        <v>14</v>
      </c>
      <c r="C32" s="67"/>
      <c r="D32" s="67"/>
      <c r="E32" s="67"/>
      <c r="F32" s="67"/>
      <c r="G32" s="67"/>
      <c r="H32" s="67"/>
      <c r="I32" s="67"/>
      <c r="J32" s="67"/>
      <c r="K32" s="67"/>
      <c r="L32" s="67"/>
      <c r="M32" s="67"/>
      <c r="N32" s="67"/>
      <c r="O32" s="67"/>
    </row>
  </sheetData>
  <sheetProtection algorithmName="SHA-512" hashValue="6Xl8XQiSXNamK3TkJKkvs+2bxoZITBGdlxxTUZaUPF7j8Use8vxulv3A9+xs4TgESQVQ3OKZ9zCBVIa2l0UpbQ==" saltValue="E0KzkQh2+ZqNz+g/85cYVw==" spinCount="100000" sheet="1" selectLockedCells="1"/>
  <mergeCells count="9">
    <mergeCell ref="B29:O29"/>
    <mergeCell ref="B32:O32"/>
    <mergeCell ref="G2:O2"/>
    <mergeCell ref="C10:D10"/>
    <mergeCell ref="B20:F20"/>
    <mergeCell ref="B26:O26"/>
    <mergeCell ref="B27:O27"/>
    <mergeCell ref="B28:O28"/>
    <mergeCell ref="G4:I4"/>
  </mergeCells>
  <pageMargins left="0.5" right="0.5" top="0.5" bottom="0.5" header="0.3" footer="0.3"/>
  <pageSetup scale="72"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Data1!$K$25:$K$43</xm:f>
          </x14:formula1>
          <xm:sqref>O6 I6 K6 M6</xm:sqref>
        </x14:dataValidation>
        <x14:dataValidation type="list" allowBlank="1" showInputMessage="1" showErrorMessage="1" xr:uid="{3A1E7FFF-A17D-4B18-A128-8032DD5859FA}">
          <x14:formula1>
            <xm:f>Data1!$A$33:$A$34</xm:f>
          </x14:formula1>
          <xm:sqref>G4:I4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3EC3C-FC48-4BCA-9DF5-C8F5E0B24EB5}">
  <sheetPr>
    <pageSetUpPr fitToPage="1"/>
  </sheetPr>
  <dimension ref="A1:O40"/>
  <sheetViews>
    <sheetView showGridLines="0" showRowColHeaders="0" showRuler="0" zoomScaleNormal="100" workbookViewId="0">
      <selection activeCell="E17" sqref="E17"/>
    </sheetView>
  </sheetViews>
  <sheetFormatPr defaultColWidth="8.85546875" defaultRowHeight="15" x14ac:dyDescent="0.25"/>
  <cols>
    <col min="1" max="1" width="4.140625" customWidth="1"/>
    <col min="4" max="4" width="26.140625" customWidth="1"/>
    <col min="5" max="5" width="11.42578125" bestFit="1" customWidth="1"/>
    <col min="7" max="7" width="13.140625" style="5" customWidth="1"/>
    <col min="8" max="8" width="4.7109375" customWidth="1"/>
    <col min="9" max="9" width="13.42578125" style="5" customWidth="1"/>
    <col min="10" max="10" width="4.7109375" customWidth="1"/>
    <col min="11" max="11" width="13.42578125" style="5" customWidth="1"/>
    <col min="12" max="12" width="4.7109375" style="5" customWidth="1"/>
    <col min="13" max="13" width="13.42578125" style="5" customWidth="1"/>
    <col min="14" max="14" width="3.42578125" customWidth="1"/>
  </cols>
  <sheetData>
    <row r="1" spans="2:14" ht="17.25" customHeight="1" x14ac:dyDescent="0.25"/>
    <row r="2" spans="2:14" ht="47.25" customHeight="1" x14ac:dyDescent="0.25">
      <c r="F2" s="73" t="s">
        <v>107</v>
      </c>
      <c r="G2" s="73"/>
      <c r="H2" s="73"/>
      <c r="I2" s="73"/>
      <c r="J2" s="73"/>
      <c r="K2" s="73"/>
      <c r="L2" s="73"/>
      <c r="M2" s="73"/>
      <c r="N2" s="73"/>
    </row>
    <row r="3" spans="2:14" ht="8.25" customHeight="1" x14ac:dyDescent="0.25">
      <c r="B3" s="20"/>
      <c r="C3" s="20"/>
      <c r="D3" s="20"/>
      <c r="E3" s="20"/>
      <c r="F3" s="20"/>
      <c r="G3" s="21"/>
      <c r="H3" s="22"/>
      <c r="I3" s="22"/>
      <c r="J3" s="22"/>
      <c r="K3" s="22"/>
      <c r="L3" s="22"/>
      <c r="M3" s="22"/>
      <c r="N3" s="22"/>
    </row>
    <row r="4" spans="2:14" ht="8.25" customHeight="1" x14ac:dyDescent="0.25">
      <c r="G4" s="58"/>
      <c r="H4" s="59"/>
      <c r="I4" s="59"/>
      <c r="J4" s="59"/>
      <c r="K4" s="59"/>
      <c r="L4" s="59"/>
      <c r="M4" s="59"/>
      <c r="N4" s="59"/>
    </row>
    <row r="5" spans="2:14" ht="21" x14ac:dyDescent="0.3">
      <c r="B5" s="6" t="s">
        <v>20</v>
      </c>
      <c r="D5" s="29"/>
      <c r="E5" s="29"/>
      <c r="F5" s="83" t="s">
        <v>101</v>
      </c>
      <c r="G5" s="84"/>
      <c r="H5" s="85"/>
      <c r="I5" s="59"/>
      <c r="J5" s="59"/>
      <c r="K5" s="59"/>
      <c r="L5" s="59"/>
      <c r="M5" s="59"/>
      <c r="N5" s="59"/>
    </row>
    <row r="6" spans="2:14" ht="8.25" customHeight="1" x14ac:dyDescent="0.25">
      <c r="G6" s="58"/>
      <c r="H6" s="59"/>
      <c r="I6" s="59"/>
      <c r="J6" s="59"/>
      <c r="K6" s="59"/>
      <c r="L6" s="59"/>
      <c r="M6" s="59"/>
      <c r="N6" s="59"/>
    </row>
    <row r="7" spans="2:14" ht="12" customHeight="1" x14ac:dyDescent="0.25">
      <c r="B7" s="75"/>
      <c r="C7" s="75"/>
      <c r="D7" s="75"/>
      <c r="E7" s="75"/>
      <c r="F7" s="75"/>
      <c r="G7" s="75"/>
      <c r="H7" s="75"/>
      <c r="I7" s="75"/>
      <c r="J7" s="75"/>
      <c r="K7" s="75"/>
      <c r="L7" s="75"/>
      <c r="M7" s="75"/>
      <c r="N7" s="75"/>
    </row>
    <row r="8" spans="2:14" ht="19.5" customHeight="1" x14ac:dyDescent="0.25">
      <c r="I8" s="46" t="s">
        <v>91</v>
      </c>
      <c r="K8" s="46" t="s">
        <v>92</v>
      </c>
      <c r="M8" s="46" t="s">
        <v>93</v>
      </c>
    </row>
    <row r="9" spans="2:14" ht="18" customHeight="1" x14ac:dyDescent="0.3">
      <c r="C9" s="6" t="s">
        <v>15</v>
      </c>
      <c r="D9" s="29"/>
      <c r="E9" s="29"/>
      <c r="F9" s="29"/>
      <c r="G9" s="29"/>
      <c r="H9" s="29"/>
      <c r="I9" s="45" t="s">
        <v>63</v>
      </c>
      <c r="K9" s="45" t="s">
        <v>63</v>
      </c>
      <c r="L9" s="23"/>
      <c r="M9" s="45" t="s">
        <v>63</v>
      </c>
      <c r="N9" s="29"/>
    </row>
    <row r="10" spans="2:14" ht="6" customHeight="1" x14ac:dyDescent="0.25"/>
    <row r="11" spans="2:14" ht="15.75" thickBot="1" x14ac:dyDescent="0.3">
      <c r="B11" s="1" t="s">
        <v>7</v>
      </c>
      <c r="C11" s="2"/>
      <c r="D11" s="2"/>
      <c r="E11" s="2"/>
      <c r="F11" s="2"/>
      <c r="G11" s="4" t="s">
        <v>3</v>
      </c>
      <c r="H11" s="3"/>
      <c r="I11" s="4" t="s">
        <v>95</v>
      </c>
      <c r="J11" s="3"/>
      <c r="K11" s="4" t="s">
        <v>96</v>
      </c>
      <c r="L11" s="4"/>
      <c r="M11" s="4" t="s">
        <v>97</v>
      </c>
      <c r="N11" s="2"/>
    </row>
    <row r="12" spans="2:14" ht="9" customHeight="1" x14ac:dyDescent="0.25"/>
    <row r="13" spans="2:14" ht="21.75" customHeight="1" x14ac:dyDescent="0.25">
      <c r="B13" s="10" t="s">
        <v>1</v>
      </c>
      <c r="C13" s="76"/>
      <c r="D13" s="76"/>
      <c r="E13" s="11"/>
      <c r="F13" s="11"/>
      <c r="G13" s="12">
        <f>I13+K13+M13</f>
        <v>0</v>
      </c>
      <c r="H13" s="11"/>
      <c r="I13" s="12">
        <f>IF((OR(F5="2026 Fall Quarter")), (VLOOKUP(I9,Data1!E46:H64, 2, FALSE)), IF((OR(F5="2025 Fall Quarter")), (VLOOKUP(I9, Data1!E46:H64, 3, FALSE)), 0))</f>
        <v>0</v>
      </c>
      <c r="J13" s="11"/>
      <c r="K13" s="12">
        <f>IF((OR(F5="2026 Fall Quarter")), (VLOOKUP(K9,Data1!E46:G64, 2, FALSE)), IF((OR(F5="2025 Fall Quarter")), (VLOOKUP(K9, Data1!E46:G64, 3, FALSE)), 0))</f>
        <v>0</v>
      </c>
      <c r="L13" s="12"/>
      <c r="M13" s="12">
        <f>IF((OR(F5="2026 Fall Quarter")), (VLOOKUP(M9,Data1!E46:G64, 2, FALSE)), IF((OR(F5="2025 Fall Quarter")), (VLOOKUP(M9,Data1!E46:G64, 3, FALSE)), 0))</f>
        <v>0</v>
      </c>
      <c r="N13" s="11"/>
    </row>
    <row r="14" spans="2:14" ht="21.75" customHeight="1" x14ac:dyDescent="0.25">
      <c r="B14" s="35" t="s">
        <v>0</v>
      </c>
    </row>
    <row r="15" spans="2:14" ht="21.75" customHeight="1" x14ac:dyDescent="0.25">
      <c r="B15" s="13" t="s">
        <v>2</v>
      </c>
      <c r="C15" s="11"/>
      <c r="D15" s="11"/>
      <c r="E15" s="11"/>
      <c r="F15" s="11"/>
      <c r="G15" s="12">
        <f>I15+K15+M15</f>
        <v>0</v>
      </c>
      <c r="H15" s="11"/>
      <c r="I15" s="12">
        <f>VLOOKUP(I9,Data1!E43:H64, 4, FALSE)</f>
        <v>0</v>
      </c>
      <c r="J15" s="11"/>
      <c r="K15" s="12">
        <f>VLOOKUP(K9,Data1!E46:H64, 4, FALSE)</f>
        <v>0</v>
      </c>
      <c r="L15" s="12"/>
      <c r="M15" s="12">
        <f>VLOOKUP(M9, Data1!E46:H64, 4, FALSE)</f>
        <v>0</v>
      </c>
      <c r="N15" s="11"/>
    </row>
    <row r="16" spans="2:14" ht="21.75" customHeight="1" x14ac:dyDescent="0.25">
      <c r="B16" s="39" t="s">
        <v>17</v>
      </c>
      <c r="G16" s="5">
        <f>I16+K16+M16</f>
        <v>0</v>
      </c>
      <c r="I16" s="5">
        <f>VLOOKUP(I9,Data1!E25:I43, 5, FALSE)</f>
        <v>0</v>
      </c>
      <c r="K16" s="5">
        <f>VLOOKUP(K9,Data1!E25:I43, 5, FALSE)</f>
        <v>0</v>
      </c>
      <c r="M16" s="5">
        <f>VLOOKUP(M9,Data1!E25:I43, 4, FALSE)</f>
        <v>0</v>
      </c>
    </row>
    <row r="17" spans="2:14" ht="21.75" customHeight="1" x14ac:dyDescent="0.25">
      <c r="B17" s="78" t="s">
        <v>56</v>
      </c>
      <c r="C17" s="78"/>
      <c r="D17" s="79"/>
      <c r="E17" s="31" t="s">
        <v>5</v>
      </c>
      <c r="F17" s="11"/>
      <c r="G17" s="30">
        <f>I17+K17+M17</f>
        <v>0</v>
      </c>
      <c r="H17" s="11"/>
      <c r="I17" s="30">
        <f>IF(AND(E17="Yes", I9&lt;&gt;"not enrolled"), (VLOOKUP(E17,Data1!A25:C26, 2, FALSE)), 0)</f>
        <v>0</v>
      </c>
      <c r="J17" s="11"/>
      <c r="K17" s="30">
        <v>0</v>
      </c>
      <c r="L17" s="30"/>
      <c r="M17" s="30">
        <f>IF(AND(E17="Yes", M9&lt;&gt;"not enrolled"), (VLOOKUP(E17,Data1!A25:C26, 2, FALSE)), 0)</f>
        <v>0</v>
      </c>
      <c r="N17" s="11"/>
    </row>
    <row r="18" spans="2:14" ht="21.75" customHeight="1" x14ac:dyDescent="0.25">
      <c r="B18" s="80" t="s">
        <v>64</v>
      </c>
      <c r="C18" s="80"/>
      <c r="D18" s="80"/>
      <c r="E18" s="60"/>
      <c r="F18" s="7"/>
      <c r="G18" s="32">
        <f>I18+K18+M18</f>
        <v>0</v>
      </c>
      <c r="H18" s="7"/>
      <c r="I18" s="62">
        <f>IF(AND(I9&lt;&gt;"select", I9&lt;&gt;"not enrolled",I9&lt;&gt;"4 credits",I9&lt;&gt;"5 credits",I9&lt;&gt;"6 credits",I9&lt;&gt;"7 credits"), 258, 0)</f>
        <v>0</v>
      </c>
      <c r="J18" s="7"/>
      <c r="K18" s="62">
        <f>IF(AND(K9&lt;&gt;"select", K9&lt;&gt;"not enrolled",K9&lt;&gt;"4 credits",K9&lt;&gt;"5 credits",K9&lt;&gt;"6 credits",K9&lt;&gt;"7 credits"), 258, 0)</f>
        <v>0</v>
      </c>
      <c r="L18" s="32"/>
      <c r="M18" s="62">
        <f>IF(AND(M9&lt;&gt;"select", M9&lt;&gt;"not enrolled",M9&lt;&gt;"4 credits",M9&lt;&gt;"5 credits",M9&lt;&gt;"6 credits",M9&lt;&gt;"7 credits"), 258, 0)</f>
        <v>0</v>
      </c>
      <c r="N18" s="7"/>
    </row>
    <row r="19" spans="2:14" ht="21.75" customHeight="1" x14ac:dyDescent="0.25">
      <c r="C19" s="8" t="s">
        <v>6</v>
      </c>
      <c r="G19" s="9">
        <f>SUM(G13, G15:G18)</f>
        <v>0</v>
      </c>
      <c r="I19" s="9">
        <f>SUM(I13,I15:I18)</f>
        <v>0</v>
      </c>
      <c r="K19" s="9">
        <f>SUM(K13,K15:K18)</f>
        <v>0</v>
      </c>
      <c r="L19" s="9"/>
      <c r="M19" s="9">
        <f>SUM(M13,M15:M18)</f>
        <v>0</v>
      </c>
    </row>
    <row r="20" spans="2:14" ht="24" customHeight="1" x14ac:dyDescent="0.25"/>
    <row r="21" spans="2:14" ht="15.75" thickBot="1" x14ac:dyDescent="0.3">
      <c r="B21" s="1" t="s">
        <v>11</v>
      </c>
      <c r="C21" s="2"/>
      <c r="D21" s="2"/>
      <c r="E21" s="2"/>
      <c r="F21" s="2"/>
      <c r="G21" s="4" t="s">
        <v>3</v>
      </c>
      <c r="H21" s="3"/>
      <c r="I21" s="4" t="s">
        <v>95</v>
      </c>
      <c r="J21" s="3"/>
      <c r="K21" s="4" t="s">
        <v>96</v>
      </c>
      <c r="L21" s="4"/>
      <c r="M21" s="4" t="s">
        <v>97</v>
      </c>
      <c r="N21" s="2"/>
    </row>
    <row r="22" spans="2:14" ht="21.75" customHeight="1" x14ac:dyDescent="0.25">
      <c r="B22" t="s">
        <v>16</v>
      </c>
      <c r="G22" s="16"/>
      <c r="I22" s="5">
        <f>IF((AND(I9&lt;&gt;"not enrolled", K9&lt;&gt;"not enrolled", M9&lt;&gt;"not enrolled")), (G22/3), IF((AND(I9&lt;&gt;"not enrolled", K9&lt;&gt;"not enrolled", M9="not enrolled")), (G22/2), IF((AND(I9&lt;&gt;"not enrolled", K9="not enrolled", M9="not enrolled")), (G22/1), 0)))</f>
        <v>0</v>
      </c>
      <c r="K22" s="5">
        <f>IF((AND(I9&lt;&gt;"not enrolled", K9&lt;&gt;"not enrolled", M9&lt;&gt;"not enrolled")), (G22/3), IF((AND(I9&lt;&gt;"not enrolled", K9&lt;&gt;"not enrolled", M9="not enrolled")), (G22/2), IF((AND(I9="not enrolled", K9&lt;&gt;"not enrolled", M9&lt;&gt;"not enrolled")), (G22/2), 0)))</f>
        <v>0</v>
      </c>
      <c r="M22" s="5">
        <f>IF((AND(I9&lt;&gt;"not enrolled", K9&lt;&gt;"not enrolled", M9&lt;&gt;"not enrolled")), (G22/3), IF((AND(I9="not enrolled", K9&lt;&gt;"not enrolled", M9&lt;&gt;"not enrolled")), (G22/2), IF((AND(I9="not enrolled", K9="not enrolled", M9&lt;&gt;"not enrolled")), (G22), 0)))</f>
        <v>0</v>
      </c>
    </row>
    <row r="23" spans="2:14" ht="21.75" customHeight="1" x14ac:dyDescent="0.25">
      <c r="B23" s="11" t="s">
        <v>8</v>
      </c>
      <c r="C23" s="11"/>
      <c r="D23" s="11"/>
      <c r="E23" s="11"/>
      <c r="F23" s="11"/>
      <c r="G23" s="17"/>
      <c r="H23" s="11"/>
      <c r="I23" s="12">
        <f>IF((AND(I9&lt;&gt;"not enrolled", K9&lt;&gt;"not enrolled", M9&lt;&gt;"not enrolled")), (G23/3), IF((AND(I9&lt;&gt;"not enrolled", K9&lt;&gt;"not enrolled", M9="not enrolled")), (G23/2), IF((AND(I9&lt;&gt;"not enrolled", K9="not enrolled", M9="not enrolled")), (G23/1), 0)))</f>
        <v>0</v>
      </c>
      <c r="J23" s="11"/>
      <c r="K23" s="12">
        <f>IF((AND(I9&lt;&gt;"not enrolled", K9&lt;&gt;"not enrolled", M9&lt;&gt;"not enrolled")), (G23/3), IF((AND(I9&lt;&gt;"not enrolled", K9&lt;&gt;"not enrolled", M9="not enrolled")), (G23/2), IF((AND(I9="not enrolled", K9&lt;&gt;"not enrolled", M9&lt;&gt;"not enrolled")), (G23/2), 0)))</f>
        <v>0</v>
      </c>
      <c r="L23" s="12"/>
      <c r="M23" s="12">
        <f>IF((AND(I9&lt;&gt;"not enrolled", K9&lt;&gt;"not enrolled", M9&lt;&gt;"not enrolled")), (G23/3), IF((AND(I9="not enrolled", K9&lt;&gt;"not enrolled", M9&lt;&gt;"not enrolled")), (G23/2), IF((AND(I9="not enrolled", K9="not enrolled", M9&lt;&gt;"not enrolled")), (G23), 0)))</f>
        <v>0</v>
      </c>
      <c r="N23" s="11"/>
    </row>
    <row r="24" spans="2:14" ht="21.75" customHeight="1" x14ac:dyDescent="0.25">
      <c r="B24" t="s">
        <v>65</v>
      </c>
      <c r="E24" s="18"/>
      <c r="G24" s="5">
        <f>SUM(I24,K24,M24)</f>
        <v>0</v>
      </c>
      <c r="I24" s="5">
        <f>IF((AND(I9&lt;&gt;"not enrolled", K9&lt;&gt;"not enrolled", M9&lt;&gt;"not enrolled")), ROUND(((E24-(E24*0.01057))/3),0), IF((AND(I9&lt;&gt;"not enrolled", K9&lt;&gt;"not enrolled", M9="not enrolled")), ROUND(((E24-(E24*0.01057))/2),0), IF((AND(I9&lt;&gt;"not enrolled", K9="not enrolled", M9="not enrolled")), ROUND(((E24-(E24*0.01057))/1),0), 0)))</f>
        <v>0</v>
      </c>
      <c r="K24" s="5">
        <f>IF((AND(I9&lt;&gt;"not enrolled", K9&lt;&gt;"not enrolled", M9&lt;&gt;"not enrolled")), ROUND(((E24-(E24*0.01057))/3),0), IF((AND(I9&lt;&gt;"not enrolled", K9&lt;&gt;"not enrolled", M9="not enrolled")), ROUND(((E24-(E24*0.01057))/2),0), IF((AND(I9="not enrolled", K9&lt;&gt;"not enrolled", M9&lt;&gt;"not enrolled")), ROUND(((E24-(E24*0.01057))/2),0), 0)))</f>
        <v>0</v>
      </c>
      <c r="M24" s="5">
        <f>IF((AND(I9&lt;&gt;"not enrolled", K9&lt;&gt;"not enrolled", M9&lt;&gt;"not enrolled")), ROUND(((E24-(E24*0.01057))/3),0), IF((AND(I9="not enrolled", K9&lt;&gt;"not enrolled", M9&lt;&gt;"not enrolled")), ROUND(((E24-(E24*0.01057))/2),0), IF((AND(I9="not enrolled", K9="not enrolled", M9&lt;&gt;"not enrolled")), ROUND(((E24-(E24*0.01057))/1),0), 0)))</f>
        <v>0</v>
      </c>
    </row>
    <row r="25" spans="2:14" ht="21.75" customHeight="1" x14ac:dyDescent="0.25">
      <c r="B25" s="11" t="s">
        <v>66</v>
      </c>
      <c r="C25" s="11"/>
      <c r="D25" s="11"/>
      <c r="E25" s="18"/>
      <c r="F25" s="11"/>
      <c r="G25" s="12">
        <f>SUM(I25,K25,M25)</f>
        <v>0</v>
      </c>
      <c r="H25" s="11"/>
      <c r="I25" s="12">
        <f>IF((AND(I9&lt;&gt;"not enrolled", K9&lt;&gt;"not enrolled", M9&lt;&gt;"not enrolled")), ROUND(((E25-(E25*0.04228))/3),0), IF((AND(I9&lt;&gt;"not enrolled", K9&lt;&gt;"not enrolled", M9="not enrolled")), ROUND(((E25-(E25*0.04228))/2),0), IF((AND(I9&lt;&gt;"not enrolled", K9="not enrolled", M9="not enrolled")), ROUND(((E25-(E25*0.04228))/1),0), 0)))</f>
        <v>0</v>
      </c>
      <c r="J25" s="11"/>
      <c r="K25" s="12">
        <f>IF((AND(I9&lt;&gt;"not enrolled", K9&lt;&gt;"not enrolled", M9&lt;&gt;"not enrolled")), ROUND(((E25-(E25*0.04228))/3),0), IF((AND(I9&lt;&gt;"not enrolled", K9&lt;&gt;"not enrolled", M9="not enrolled")), ROUND(((E25-(E25*0.04228))/2),0), IF((AND(I9="not enrolled", K9&lt;&gt;"not enrolled", M9&lt;&gt;"not enrolled")), ROUND(((E25-(E25*0.04228))/2),0), 0)))</f>
        <v>0</v>
      </c>
      <c r="L25" s="12"/>
      <c r="M25" s="12">
        <f>IF((AND(I9&lt;&gt;"not enrolled", K9&lt;&gt;"not enrolled", M9&lt;&gt;"not enrolled")), ROUND(((E25-(E25*0.04228))/3),0), IF((AND(I9="not enrolled", K9&lt;&gt;"not enrolled", M9&lt;&gt;"not enrolled")), ROUND(((E25-(E25*0.04228))/2),0), IF((AND(I9="not enrolled", K9="not enrolled", M9&lt;&gt;"not enrolled")), ROUND(((E25-(E25*0.04228))/1),0), 0)))</f>
        <v>0</v>
      </c>
      <c r="N25" s="11"/>
    </row>
    <row r="26" spans="2:14" ht="21.75" customHeight="1" x14ac:dyDescent="0.25">
      <c r="B26" s="71" t="s">
        <v>22</v>
      </c>
      <c r="C26" s="71"/>
      <c r="D26" s="71"/>
      <c r="E26" s="71"/>
      <c r="G26" s="17"/>
      <c r="I26" s="5">
        <f>IF((AND(I9&lt;&gt;"not enrolled", K9&lt;&gt;"not enrolled", M9&lt;&gt;"not enrolled")), (G26/3), IF((AND(I9&lt;&gt;"not enrolled", K9&lt;&gt;"not enrolled", M9="not enrolled")), (G26/2), IF((AND(I9&lt;&gt;"not enrolled", K9="not enrolled", M9="not enrolled")), (G26/1), 0)))</f>
        <v>0</v>
      </c>
      <c r="K26" s="5">
        <f>IF((AND(I9&lt;&gt;"not enrolled", K9&lt;&gt;"not enrolled", M9&lt;&gt;"not enrolled")), (G26/3), IF((AND(I9&lt;&gt;"not enrolled", K9&lt;&gt;"not enrolled", M9="not enrolled")), (G26/2), IF((AND(I9="not enrolled", K9&lt;&gt;"not enrolled", M9&lt;&gt;"not enrolled")), (G26/2), 0)))</f>
        <v>0</v>
      </c>
      <c r="M26" s="5">
        <f>IF((AND(I9&lt;&gt;"not enrolled", K9&lt;&gt;"not enrolled", M9&lt;&gt;"not enrolled")), (G26/3), IF((AND(I9="not enrolled", K9&lt;&gt;"not enrolled", M9&lt;&gt;"not enrolled")), (G26/2), IF((AND(I9="not enrolled", K9="not enrolled", M9&lt;&gt;"not enrolled")), (G26), 0)))</f>
        <v>0</v>
      </c>
    </row>
    <row r="27" spans="2:14" ht="21.75" customHeight="1" x14ac:dyDescent="0.25">
      <c r="B27" s="77" t="s">
        <v>23</v>
      </c>
      <c r="C27" s="77"/>
      <c r="D27" s="77"/>
      <c r="E27" s="77"/>
      <c r="F27" s="77"/>
      <c r="G27" s="28">
        <f>I27+K27+M27</f>
        <v>0</v>
      </c>
      <c r="H27" s="27"/>
      <c r="I27" s="19"/>
      <c r="J27" s="27"/>
      <c r="K27" s="19"/>
      <c r="L27" s="33"/>
      <c r="M27" s="24"/>
      <c r="N27" s="27"/>
    </row>
    <row r="28" spans="2:14" ht="21.75" customHeight="1" x14ac:dyDescent="0.25">
      <c r="C28" s="8" t="s">
        <v>10</v>
      </c>
      <c r="G28" s="5">
        <f>SUM(G22:G27)</f>
        <v>0</v>
      </c>
      <c r="I28" s="5">
        <f>SUM(I22:I27)</f>
        <v>0</v>
      </c>
      <c r="K28" s="5">
        <f>SUM(K22:K26,K27)</f>
        <v>0</v>
      </c>
      <c r="M28" s="5">
        <f>SUM(M22:M26,M27)</f>
        <v>0</v>
      </c>
    </row>
    <row r="29" spans="2:14" ht="15.75" thickBot="1" x14ac:dyDescent="0.3"/>
    <row r="30" spans="2:14" ht="21.75" customHeight="1" thickTop="1" thickBot="1" x14ac:dyDescent="0.35">
      <c r="B30" s="15" t="s">
        <v>12</v>
      </c>
      <c r="C30" s="14"/>
      <c r="D30" s="14"/>
      <c r="E30" s="14"/>
      <c r="F30" s="14"/>
      <c r="G30" s="25">
        <f>G19-G28</f>
        <v>0</v>
      </c>
      <c r="H30" s="26"/>
      <c r="I30" s="25">
        <f>I19-I28</f>
        <v>0</v>
      </c>
      <c r="J30" s="26"/>
      <c r="K30" s="25">
        <f>K19-K28</f>
        <v>0</v>
      </c>
      <c r="L30" s="25"/>
      <c r="M30" s="25">
        <f>M19-M28</f>
        <v>0</v>
      </c>
      <c r="N30" s="14"/>
    </row>
    <row r="31" spans="2:14" ht="15.75" thickTop="1" x14ac:dyDescent="0.25"/>
    <row r="32" spans="2:14" x14ac:dyDescent="0.25">
      <c r="B32" s="8" t="s">
        <v>13</v>
      </c>
    </row>
    <row r="33" spans="1:15" ht="21.75" customHeight="1" x14ac:dyDescent="0.25">
      <c r="A33" s="51">
        <v>1</v>
      </c>
      <c r="B33" s="72" t="str">
        <f>IF((OR(F5="2024 Fall Quarter")), Data1!P17, IF((OR(F5="2023 Fall Quarter")), Data1!P16, "Please choose a starting term for your cohort above."))</f>
        <v>Please choose a starting term for your cohort above.</v>
      </c>
      <c r="C33" s="72"/>
      <c r="D33" s="72"/>
      <c r="E33" s="72"/>
      <c r="F33" s="72"/>
      <c r="G33" s="72"/>
      <c r="H33" s="72"/>
      <c r="I33" s="72"/>
      <c r="J33" s="72"/>
      <c r="K33" s="72"/>
      <c r="L33" s="72"/>
      <c r="M33" s="72"/>
      <c r="N33" s="72"/>
      <c r="O33" s="72"/>
    </row>
    <row r="34" spans="1:15" ht="17.45" customHeight="1" x14ac:dyDescent="0.25">
      <c r="A34" s="51">
        <v>2</v>
      </c>
      <c r="B34" s="71" t="s">
        <v>102</v>
      </c>
      <c r="C34" s="71"/>
      <c r="D34" s="71"/>
      <c r="E34" s="71"/>
      <c r="F34" s="71"/>
      <c r="G34" s="71"/>
      <c r="H34" s="71"/>
      <c r="I34" s="71"/>
      <c r="J34" s="71"/>
      <c r="K34" s="71"/>
      <c r="L34" s="71"/>
      <c r="M34" s="71"/>
      <c r="N34" s="71"/>
    </row>
    <row r="35" spans="1:15" ht="30" customHeight="1" x14ac:dyDescent="0.25">
      <c r="A35" s="61">
        <v>3</v>
      </c>
      <c r="B35" s="72" t="s">
        <v>106</v>
      </c>
      <c r="C35" s="72"/>
      <c r="D35" s="72"/>
      <c r="E35" s="72"/>
      <c r="F35" s="72"/>
      <c r="G35" s="72"/>
      <c r="H35" s="72"/>
      <c r="I35" s="72"/>
      <c r="J35" s="72"/>
      <c r="K35" s="72"/>
      <c r="L35" s="72"/>
      <c r="M35" s="72"/>
      <c r="N35" s="72"/>
    </row>
    <row r="36" spans="1:15" ht="35.25" customHeight="1" x14ac:dyDescent="0.25">
      <c r="A36" s="61">
        <v>4</v>
      </c>
      <c r="B36" s="72" t="s">
        <v>67</v>
      </c>
      <c r="C36" s="72"/>
      <c r="D36" s="72"/>
      <c r="E36" s="72"/>
      <c r="F36" s="72"/>
      <c r="G36" s="72"/>
      <c r="H36" s="72"/>
      <c r="I36" s="72"/>
      <c r="J36" s="72"/>
      <c r="K36" s="72"/>
      <c r="L36" s="72"/>
      <c r="M36" s="72"/>
      <c r="N36" s="72"/>
    </row>
    <row r="37" spans="1:15" ht="65.25" customHeight="1" x14ac:dyDescent="0.25">
      <c r="A37" s="61">
        <v>5</v>
      </c>
      <c r="B37" s="72" t="s">
        <v>117</v>
      </c>
      <c r="C37" s="72"/>
      <c r="D37" s="72"/>
      <c r="E37" s="72"/>
      <c r="F37" s="72"/>
      <c r="G37" s="72"/>
      <c r="H37" s="72"/>
      <c r="I37" s="72"/>
      <c r="J37" s="72"/>
      <c r="K37" s="72"/>
      <c r="L37" s="72"/>
      <c r="M37" s="72"/>
      <c r="N37" s="72"/>
    </row>
    <row r="38" spans="1:15" ht="21.75" customHeight="1" x14ac:dyDescent="0.25"/>
    <row r="40" spans="1:15" x14ac:dyDescent="0.25">
      <c r="B40" s="67" t="s">
        <v>14</v>
      </c>
      <c r="C40" s="67"/>
      <c r="D40" s="67"/>
      <c r="E40" s="67"/>
      <c r="F40" s="67"/>
      <c r="G40" s="67"/>
      <c r="H40" s="67"/>
      <c r="I40" s="67"/>
      <c r="J40" s="67"/>
      <c r="K40" s="67"/>
      <c r="L40" s="67"/>
      <c r="M40" s="67"/>
      <c r="N40" s="67"/>
    </row>
  </sheetData>
  <sheetProtection algorithmName="SHA-512" hashValue="NabOnUk3xmwx05co2ko/nifOssNDEpyFudOGLBlBh3EbaL6W8856SyzdKE4RRvx6DGl/X/6IWCjfLJISQjY/iQ==" saltValue="jcocaWCF3m8MW/B3z3wWBg==" spinCount="100000" sheet="1" selectLockedCells="1"/>
  <mergeCells count="14">
    <mergeCell ref="B18:D18"/>
    <mergeCell ref="F2:N2"/>
    <mergeCell ref="F5:H5"/>
    <mergeCell ref="B7:N7"/>
    <mergeCell ref="C13:D13"/>
    <mergeCell ref="B17:D17"/>
    <mergeCell ref="B37:N37"/>
    <mergeCell ref="B40:N40"/>
    <mergeCell ref="B26:E26"/>
    <mergeCell ref="B27:F27"/>
    <mergeCell ref="B33:O33"/>
    <mergeCell ref="B34:N34"/>
    <mergeCell ref="B35:N35"/>
    <mergeCell ref="B36:N36"/>
  </mergeCells>
  <hyperlinks>
    <hyperlink ref="B17" r:id="rId1" display="Will you enroll in DU's health insurance plan?" xr:uid="{9D6C446D-E049-40EA-BB86-292B9BF588DB}"/>
    <hyperlink ref="B18" r:id="rId2" display="Will you use DU Health &amp; Counseling Services? " xr:uid="{950F8145-08BC-4557-ADBD-F0BA899B43C3}"/>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BC648790-4302-4226-89B0-2661BEDB0B46}">
          <x14:formula1>
            <xm:f>Data1!$A$33:$A$34</xm:f>
          </x14:formula1>
          <xm:sqref>F5:H5</xm:sqref>
        </x14:dataValidation>
        <x14:dataValidation type="list" allowBlank="1" showInputMessage="1" showErrorMessage="1" xr:uid="{410228BC-7DAE-4B4E-BA48-2B274EC48570}">
          <x14:formula1>
            <xm:f>Data1!$E$46:$E$64</xm:f>
          </x14:formula1>
          <xm:sqref>M9 I9 K9</xm:sqref>
        </x14:dataValidation>
        <x14:dataValidation type="list" allowBlank="1" showInputMessage="1" showErrorMessage="1" xr:uid="{E79E9620-28B4-4E59-AD34-4A284D6CA1F3}">
          <x14:formula1>
            <xm:f>Data1!$A$25:$A$26</xm:f>
          </x14:formula1>
          <xm:sqref>E17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64"/>
  <sheetViews>
    <sheetView showGridLines="0" topLeftCell="A16" workbookViewId="0">
      <selection activeCell="C25" sqref="C25"/>
    </sheetView>
  </sheetViews>
  <sheetFormatPr defaultColWidth="8.85546875" defaultRowHeight="15" x14ac:dyDescent="0.25"/>
  <cols>
    <col min="5" max="5" width="12.140625" bestFit="1" customWidth="1"/>
    <col min="6" max="10" width="11.85546875" customWidth="1"/>
    <col min="11" max="11" width="12" bestFit="1" customWidth="1"/>
    <col min="12" max="13" width="11.85546875" customWidth="1"/>
  </cols>
  <sheetData>
    <row r="1" spans="1:29" x14ac:dyDescent="0.25">
      <c r="A1" s="8" t="s">
        <v>58</v>
      </c>
      <c r="F1" s="64" t="s">
        <v>42</v>
      </c>
      <c r="G1" s="64">
        <v>2627</v>
      </c>
      <c r="H1" s="64">
        <v>2526</v>
      </c>
      <c r="K1" s="8" t="s">
        <v>68</v>
      </c>
    </row>
    <row r="2" spans="1:29" x14ac:dyDescent="0.25">
      <c r="A2" t="s">
        <v>63</v>
      </c>
      <c r="F2" s="65" t="s">
        <v>63</v>
      </c>
      <c r="G2" s="65"/>
      <c r="H2" s="65"/>
      <c r="K2" t="s">
        <v>63</v>
      </c>
    </row>
    <row r="3" spans="1:29" x14ac:dyDescent="0.25">
      <c r="A3" t="s">
        <v>43</v>
      </c>
      <c r="B3">
        <v>0</v>
      </c>
      <c r="C3">
        <v>0</v>
      </c>
      <c r="D3">
        <v>0</v>
      </c>
      <c r="F3" t="s">
        <v>43</v>
      </c>
      <c r="G3">
        <v>0</v>
      </c>
      <c r="H3">
        <v>0</v>
      </c>
      <c r="I3">
        <v>0</v>
      </c>
      <c r="K3" t="s">
        <v>43</v>
      </c>
      <c r="L3">
        <v>0</v>
      </c>
      <c r="M3">
        <v>0</v>
      </c>
      <c r="N3">
        <v>0</v>
      </c>
      <c r="O3" s="72"/>
      <c r="P3" s="72"/>
      <c r="Q3" s="72"/>
      <c r="R3" s="72"/>
      <c r="S3" s="72"/>
      <c r="T3" s="72"/>
      <c r="U3" s="72"/>
      <c r="V3" s="72"/>
      <c r="W3" s="72"/>
      <c r="X3" s="72"/>
      <c r="Y3" s="72"/>
      <c r="Z3" s="72"/>
      <c r="AA3" s="72"/>
    </row>
    <row r="4" spans="1:29" x14ac:dyDescent="0.25">
      <c r="A4" t="s">
        <v>25</v>
      </c>
      <c r="B4">
        <v>5048</v>
      </c>
      <c r="C4">
        <f>4*8</f>
        <v>32</v>
      </c>
      <c r="D4">
        <v>57</v>
      </c>
      <c r="F4" t="s">
        <v>25</v>
      </c>
      <c r="G4">
        <f>1600*4</f>
        <v>6400</v>
      </c>
      <c r="H4">
        <f>1830*4</f>
        <v>7320</v>
      </c>
      <c r="I4">
        <f>8*4</f>
        <v>32</v>
      </c>
      <c r="K4" t="s">
        <v>25</v>
      </c>
      <c r="L4">
        <f>1550*4</f>
        <v>6200</v>
      </c>
      <c r="M4">
        <f>8*4</f>
        <v>32</v>
      </c>
      <c r="N4">
        <v>57</v>
      </c>
      <c r="O4" s="50"/>
      <c r="P4" s="8" t="s">
        <v>69</v>
      </c>
      <c r="Q4" s="50"/>
      <c r="R4" s="50"/>
      <c r="S4" s="50"/>
      <c r="T4" s="50"/>
      <c r="U4" s="50"/>
      <c r="V4" s="50"/>
      <c r="W4" s="50"/>
      <c r="X4" s="50"/>
      <c r="Y4" s="50"/>
      <c r="Z4" s="50"/>
      <c r="AA4" s="50"/>
    </row>
    <row r="5" spans="1:29" ht="14.45" customHeight="1" x14ac:dyDescent="0.25">
      <c r="A5" t="s">
        <v>26</v>
      </c>
      <c r="B5">
        <v>6312</v>
      </c>
      <c r="C5">
        <f>C4+8</f>
        <v>40</v>
      </c>
      <c r="D5">
        <v>57</v>
      </c>
      <c r="F5" t="s">
        <v>26</v>
      </c>
      <c r="G5">
        <f>G4+1600</f>
        <v>8000</v>
      </c>
      <c r="H5">
        <f>H4+1830</f>
        <v>9150</v>
      </c>
      <c r="I5">
        <f>I4+8</f>
        <v>40</v>
      </c>
      <c r="K5" t="s">
        <v>26</v>
      </c>
      <c r="L5">
        <f>L4+1550</f>
        <v>7750</v>
      </c>
      <c r="M5">
        <f>M4+8</f>
        <v>40</v>
      </c>
      <c r="N5">
        <v>57</v>
      </c>
      <c r="P5" t="s">
        <v>89</v>
      </c>
      <c r="Q5" s="50"/>
      <c r="R5" s="50"/>
      <c r="S5" s="50"/>
      <c r="T5" s="50"/>
      <c r="U5" s="50"/>
      <c r="V5" s="50"/>
      <c r="W5" s="50"/>
      <c r="X5" s="50"/>
      <c r="Y5" s="50"/>
      <c r="Z5" s="50"/>
      <c r="AA5" s="50"/>
      <c r="AB5" s="50"/>
      <c r="AC5" s="50"/>
    </row>
    <row r="6" spans="1:29" ht="14.45" customHeight="1" x14ac:dyDescent="0.25">
      <c r="A6" t="s">
        <v>27</v>
      </c>
      <c r="B6">
        <v>7572</v>
      </c>
      <c r="C6">
        <f t="shared" ref="C6:C22" si="0">C5+8</f>
        <v>48</v>
      </c>
      <c r="D6">
        <v>57</v>
      </c>
      <c r="F6" t="s">
        <v>27</v>
      </c>
      <c r="G6">
        <f t="shared" ref="G6:G22" si="1">G5+1600</f>
        <v>9600</v>
      </c>
      <c r="H6">
        <f t="shared" ref="H6:H22" si="2">H5+1830</f>
        <v>10980</v>
      </c>
      <c r="I6">
        <f t="shared" ref="I6:I22" si="3">I5+8</f>
        <v>48</v>
      </c>
      <c r="K6" t="s">
        <v>27</v>
      </c>
      <c r="L6">
        <f t="shared" ref="L6:L22" si="4">L5+1550</f>
        <v>9300</v>
      </c>
      <c r="M6">
        <f t="shared" ref="M6:M22" si="5">M5+8</f>
        <v>48</v>
      </c>
      <c r="N6">
        <v>57</v>
      </c>
      <c r="P6" t="s">
        <v>82</v>
      </c>
      <c r="Q6" s="50"/>
      <c r="R6" s="50"/>
      <c r="S6" s="50"/>
      <c r="T6" s="50"/>
      <c r="U6" s="50"/>
      <c r="V6" s="50"/>
      <c r="W6" s="50"/>
      <c r="X6" s="50"/>
      <c r="Y6" s="50"/>
      <c r="Z6" s="50"/>
      <c r="AA6" s="50"/>
      <c r="AB6" s="50"/>
      <c r="AC6" s="50"/>
    </row>
    <row r="7" spans="1:29" x14ac:dyDescent="0.25">
      <c r="A7" t="s">
        <v>28</v>
      </c>
      <c r="B7">
        <v>8834</v>
      </c>
      <c r="C7">
        <f t="shared" si="0"/>
        <v>56</v>
      </c>
      <c r="D7">
        <v>57</v>
      </c>
      <c r="F7" t="s">
        <v>28</v>
      </c>
      <c r="G7">
        <f t="shared" si="1"/>
        <v>11200</v>
      </c>
      <c r="H7">
        <f t="shared" si="2"/>
        <v>12810</v>
      </c>
      <c r="I7">
        <f t="shared" si="3"/>
        <v>56</v>
      </c>
      <c r="K7" t="s">
        <v>28</v>
      </c>
      <c r="L7">
        <f t="shared" si="4"/>
        <v>10850</v>
      </c>
      <c r="M7">
        <f t="shared" si="5"/>
        <v>56</v>
      </c>
      <c r="N7">
        <v>57</v>
      </c>
      <c r="P7" t="s">
        <v>70</v>
      </c>
    </row>
    <row r="8" spans="1:29" x14ac:dyDescent="0.25">
      <c r="A8" t="s">
        <v>29</v>
      </c>
      <c r="B8">
        <v>10096</v>
      </c>
      <c r="C8">
        <f t="shared" si="0"/>
        <v>64</v>
      </c>
      <c r="D8">
        <v>57</v>
      </c>
      <c r="F8" t="s">
        <v>29</v>
      </c>
      <c r="G8">
        <f t="shared" si="1"/>
        <v>12800</v>
      </c>
      <c r="H8">
        <f t="shared" si="2"/>
        <v>14640</v>
      </c>
      <c r="I8">
        <f t="shared" si="3"/>
        <v>64</v>
      </c>
      <c r="K8" t="s">
        <v>29</v>
      </c>
      <c r="L8">
        <f t="shared" si="4"/>
        <v>12400</v>
      </c>
      <c r="M8">
        <f t="shared" si="5"/>
        <v>64</v>
      </c>
      <c r="N8">
        <v>57</v>
      </c>
    </row>
    <row r="9" spans="1:29" x14ac:dyDescent="0.25">
      <c r="A9" t="s">
        <v>30</v>
      </c>
      <c r="B9">
        <v>11358</v>
      </c>
      <c r="C9">
        <f t="shared" si="0"/>
        <v>72</v>
      </c>
      <c r="D9">
        <v>57</v>
      </c>
      <c r="F9" t="s">
        <v>30</v>
      </c>
      <c r="G9">
        <f t="shared" si="1"/>
        <v>14400</v>
      </c>
      <c r="H9">
        <f t="shared" si="2"/>
        <v>16470</v>
      </c>
      <c r="I9">
        <f t="shared" si="3"/>
        <v>72</v>
      </c>
      <c r="K9" t="s">
        <v>30</v>
      </c>
      <c r="L9">
        <f t="shared" si="4"/>
        <v>13950</v>
      </c>
      <c r="M9">
        <f t="shared" si="5"/>
        <v>72</v>
      </c>
      <c r="N9">
        <v>57</v>
      </c>
      <c r="P9" s="8" t="s">
        <v>71</v>
      </c>
    </row>
    <row r="10" spans="1:29" x14ac:dyDescent="0.25">
      <c r="A10" t="s">
        <v>31</v>
      </c>
      <c r="B10">
        <v>12620</v>
      </c>
      <c r="C10">
        <f t="shared" si="0"/>
        <v>80</v>
      </c>
      <c r="D10">
        <v>57</v>
      </c>
      <c r="F10" t="s">
        <v>31</v>
      </c>
      <c r="G10">
        <f t="shared" si="1"/>
        <v>16000</v>
      </c>
      <c r="H10">
        <f t="shared" si="2"/>
        <v>18300</v>
      </c>
      <c r="I10">
        <f t="shared" si="3"/>
        <v>80</v>
      </c>
      <c r="K10" t="s">
        <v>31</v>
      </c>
      <c r="L10">
        <f t="shared" si="4"/>
        <v>15500</v>
      </c>
      <c r="M10">
        <f t="shared" si="5"/>
        <v>80</v>
      </c>
      <c r="N10">
        <v>57</v>
      </c>
      <c r="P10" t="s">
        <v>88</v>
      </c>
    </row>
    <row r="11" spans="1:29" x14ac:dyDescent="0.25">
      <c r="A11" t="s">
        <v>32</v>
      </c>
      <c r="B11">
        <v>13882</v>
      </c>
      <c r="C11">
        <f t="shared" si="0"/>
        <v>88</v>
      </c>
      <c r="D11">
        <v>57</v>
      </c>
      <c r="F11" t="s">
        <v>32</v>
      </c>
      <c r="G11">
        <f t="shared" si="1"/>
        <v>17600</v>
      </c>
      <c r="H11">
        <f t="shared" si="2"/>
        <v>20130</v>
      </c>
      <c r="I11">
        <f t="shared" si="3"/>
        <v>88</v>
      </c>
      <c r="K11" t="s">
        <v>32</v>
      </c>
      <c r="L11">
        <f t="shared" si="4"/>
        <v>17050</v>
      </c>
      <c r="M11">
        <f t="shared" si="5"/>
        <v>88</v>
      </c>
      <c r="N11">
        <v>57</v>
      </c>
      <c r="P11" t="s">
        <v>83</v>
      </c>
    </row>
    <row r="12" spans="1:29" x14ac:dyDescent="0.25">
      <c r="A12" t="s">
        <v>33</v>
      </c>
      <c r="B12">
        <v>15144</v>
      </c>
      <c r="C12">
        <f t="shared" si="0"/>
        <v>96</v>
      </c>
      <c r="D12">
        <v>57</v>
      </c>
      <c r="F12" t="s">
        <v>33</v>
      </c>
      <c r="G12">
        <f t="shared" si="1"/>
        <v>19200</v>
      </c>
      <c r="H12">
        <f t="shared" si="2"/>
        <v>21960</v>
      </c>
      <c r="I12">
        <f t="shared" si="3"/>
        <v>96</v>
      </c>
      <c r="K12" t="s">
        <v>33</v>
      </c>
      <c r="L12">
        <f t="shared" si="4"/>
        <v>18600</v>
      </c>
      <c r="M12">
        <f t="shared" si="5"/>
        <v>96</v>
      </c>
      <c r="N12">
        <v>57</v>
      </c>
      <c r="P12" t="s">
        <v>72</v>
      </c>
    </row>
    <row r="13" spans="1:29" x14ac:dyDescent="0.25">
      <c r="A13" t="s">
        <v>34</v>
      </c>
      <c r="B13">
        <v>16406</v>
      </c>
      <c r="C13">
        <f t="shared" si="0"/>
        <v>104</v>
      </c>
      <c r="D13">
        <v>57</v>
      </c>
      <c r="F13" t="s">
        <v>34</v>
      </c>
      <c r="G13">
        <f t="shared" si="1"/>
        <v>20800</v>
      </c>
      <c r="H13">
        <f t="shared" si="2"/>
        <v>23790</v>
      </c>
      <c r="I13">
        <f t="shared" si="3"/>
        <v>104</v>
      </c>
      <c r="K13" t="s">
        <v>34</v>
      </c>
      <c r="L13">
        <f t="shared" si="4"/>
        <v>20150</v>
      </c>
      <c r="M13">
        <f t="shared" si="5"/>
        <v>104</v>
      </c>
      <c r="N13">
        <v>57</v>
      </c>
    </row>
    <row r="14" spans="1:29" x14ac:dyDescent="0.25">
      <c r="A14" t="s">
        <v>35</v>
      </c>
      <c r="B14">
        <v>17668</v>
      </c>
      <c r="C14">
        <f t="shared" si="0"/>
        <v>112</v>
      </c>
      <c r="D14">
        <v>57</v>
      </c>
      <c r="F14" t="s">
        <v>35</v>
      </c>
      <c r="G14">
        <f t="shared" si="1"/>
        <v>22400</v>
      </c>
      <c r="H14">
        <f t="shared" si="2"/>
        <v>25620</v>
      </c>
      <c r="I14">
        <f t="shared" si="3"/>
        <v>112</v>
      </c>
      <c r="K14" t="s">
        <v>35</v>
      </c>
      <c r="L14">
        <f t="shared" si="4"/>
        <v>21700</v>
      </c>
      <c r="M14">
        <f t="shared" si="5"/>
        <v>112</v>
      </c>
      <c r="N14">
        <v>57</v>
      </c>
      <c r="P14" s="8" t="s">
        <v>77</v>
      </c>
    </row>
    <row r="15" spans="1:29" x14ac:dyDescent="0.25">
      <c r="A15" t="s">
        <v>36</v>
      </c>
      <c r="B15">
        <v>18930</v>
      </c>
      <c r="C15">
        <f t="shared" si="0"/>
        <v>120</v>
      </c>
      <c r="D15">
        <v>57</v>
      </c>
      <c r="F15" t="s">
        <v>36</v>
      </c>
      <c r="G15">
        <f t="shared" si="1"/>
        <v>24000</v>
      </c>
      <c r="H15">
        <f t="shared" si="2"/>
        <v>27450</v>
      </c>
      <c r="I15">
        <f t="shared" si="3"/>
        <v>120</v>
      </c>
      <c r="K15" t="s">
        <v>36</v>
      </c>
      <c r="L15">
        <f t="shared" si="4"/>
        <v>23250</v>
      </c>
      <c r="M15">
        <f t="shared" si="5"/>
        <v>120</v>
      </c>
      <c r="N15">
        <v>57</v>
      </c>
      <c r="P15" t="s">
        <v>87</v>
      </c>
    </row>
    <row r="16" spans="1:29" x14ac:dyDescent="0.25">
      <c r="A16" t="s">
        <v>37</v>
      </c>
      <c r="B16">
        <v>20192</v>
      </c>
      <c r="C16">
        <f t="shared" si="0"/>
        <v>128</v>
      </c>
      <c r="D16">
        <v>57</v>
      </c>
      <c r="F16" t="s">
        <v>37</v>
      </c>
      <c r="G16">
        <f t="shared" si="1"/>
        <v>25600</v>
      </c>
      <c r="H16">
        <f t="shared" si="2"/>
        <v>29280</v>
      </c>
      <c r="I16">
        <f t="shared" si="3"/>
        <v>128</v>
      </c>
      <c r="K16" t="s">
        <v>37</v>
      </c>
      <c r="L16">
        <f t="shared" si="4"/>
        <v>24800</v>
      </c>
      <c r="M16">
        <f t="shared" si="5"/>
        <v>128</v>
      </c>
      <c r="N16">
        <v>57</v>
      </c>
      <c r="P16" t="s">
        <v>84</v>
      </c>
    </row>
    <row r="17" spans="1:18" x14ac:dyDescent="0.25">
      <c r="A17" t="s">
        <v>38</v>
      </c>
      <c r="B17">
        <v>21454</v>
      </c>
      <c r="C17">
        <f t="shared" si="0"/>
        <v>136</v>
      </c>
      <c r="D17">
        <v>57</v>
      </c>
      <c r="F17" t="s">
        <v>38</v>
      </c>
      <c r="G17">
        <f t="shared" si="1"/>
        <v>27200</v>
      </c>
      <c r="H17">
        <f t="shared" si="2"/>
        <v>31110</v>
      </c>
      <c r="I17">
        <f t="shared" si="3"/>
        <v>136</v>
      </c>
      <c r="K17" t="s">
        <v>38</v>
      </c>
      <c r="L17">
        <f t="shared" si="4"/>
        <v>26350</v>
      </c>
      <c r="M17">
        <f t="shared" si="5"/>
        <v>136</v>
      </c>
      <c r="N17">
        <v>57</v>
      </c>
      <c r="P17" t="s">
        <v>78</v>
      </c>
    </row>
    <row r="18" spans="1:18" x14ac:dyDescent="0.25">
      <c r="A18" t="s">
        <v>39</v>
      </c>
      <c r="B18">
        <v>22716</v>
      </c>
      <c r="C18">
        <f t="shared" si="0"/>
        <v>144</v>
      </c>
      <c r="D18">
        <v>57</v>
      </c>
      <c r="F18" t="s">
        <v>39</v>
      </c>
      <c r="G18">
        <f t="shared" si="1"/>
        <v>28800</v>
      </c>
      <c r="H18">
        <f t="shared" si="2"/>
        <v>32940</v>
      </c>
      <c r="I18">
        <f t="shared" si="3"/>
        <v>144</v>
      </c>
      <c r="K18" t="s">
        <v>39</v>
      </c>
      <c r="L18">
        <f t="shared" si="4"/>
        <v>27900</v>
      </c>
      <c r="M18">
        <f t="shared" si="5"/>
        <v>144</v>
      </c>
      <c r="N18">
        <v>57</v>
      </c>
    </row>
    <row r="19" spans="1:18" x14ac:dyDescent="0.25">
      <c r="A19" t="s">
        <v>40</v>
      </c>
      <c r="B19">
        <v>23978</v>
      </c>
      <c r="C19">
        <f t="shared" si="0"/>
        <v>152</v>
      </c>
      <c r="D19">
        <v>57</v>
      </c>
      <c r="F19" t="s">
        <v>40</v>
      </c>
      <c r="G19">
        <f t="shared" si="1"/>
        <v>30400</v>
      </c>
      <c r="H19">
        <f t="shared" si="2"/>
        <v>34770</v>
      </c>
      <c r="I19">
        <f t="shared" si="3"/>
        <v>152</v>
      </c>
      <c r="K19" t="s">
        <v>40</v>
      </c>
      <c r="L19">
        <f t="shared" si="4"/>
        <v>29450</v>
      </c>
      <c r="M19">
        <f t="shared" si="5"/>
        <v>152</v>
      </c>
      <c r="N19">
        <v>57</v>
      </c>
    </row>
    <row r="20" spans="1:18" x14ac:dyDescent="0.25">
      <c r="A20" t="s">
        <v>41</v>
      </c>
      <c r="B20">
        <v>25240</v>
      </c>
      <c r="C20">
        <f t="shared" si="0"/>
        <v>160</v>
      </c>
      <c r="D20">
        <v>57</v>
      </c>
      <c r="F20" t="s">
        <v>41</v>
      </c>
      <c r="G20">
        <f t="shared" si="1"/>
        <v>32000</v>
      </c>
      <c r="H20">
        <f t="shared" si="2"/>
        <v>36600</v>
      </c>
      <c r="I20">
        <f t="shared" si="3"/>
        <v>160</v>
      </c>
      <c r="K20" t="s">
        <v>41</v>
      </c>
      <c r="L20">
        <f t="shared" si="4"/>
        <v>31000</v>
      </c>
      <c r="M20">
        <f t="shared" si="5"/>
        <v>160</v>
      </c>
      <c r="N20">
        <v>57</v>
      </c>
    </row>
    <row r="21" spans="1:18" x14ac:dyDescent="0.25">
      <c r="A21" t="s">
        <v>52</v>
      </c>
      <c r="B21">
        <v>26502</v>
      </c>
      <c r="C21">
        <f t="shared" si="0"/>
        <v>168</v>
      </c>
      <c r="D21">
        <v>57</v>
      </c>
      <c r="F21" t="s">
        <v>52</v>
      </c>
      <c r="G21">
        <f t="shared" si="1"/>
        <v>33600</v>
      </c>
      <c r="H21">
        <f t="shared" si="2"/>
        <v>38430</v>
      </c>
      <c r="I21">
        <f t="shared" si="3"/>
        <v>168</v>
      </c>
      <c r="K21" t="s">
        <v>52</v>
      </c>
      <c r="L21">
        <f t="shared" si="4"/>
        <v>32550</v>
      </c>
      <c r="M21">
        <f t="shared" si="5"/>
        <v>168</v>
      </c>
      <c r="N21">
        <v>57</v>
      </c>
    </row>
    <row r="22" spans="1:18" x14ac:dyDescent="0.25">
      <c r="A22" t="s">
        <v>53</v>
      </c>
      <c r="B22">
        <v>27764</v>
      </c>
      <c r="C22">
        <f t="shared" si="0"/>
        <v>176</v>
      </c>
      <c r="D22">
        <v>57</v>
      </c>
      <c r="F22" t="s">
        <v>53</v>
      </c>
      <c r="G22">
        <f t="shared" si="1"/>
        <v>35200</v>
      </c>
      <c r="H22">
        <f t="shared" si="2"/>
        <v>40260</v>
      </c>
      <c r="I22">
        <f t="shared" si="3"/>
        <v>176</v>
      </c>
      <c r="K22" t="s">
        <v>53</v>
      </c>
      <c r="L22">
        <f t="shared" si="4"/>
        <v>34100</v>
      </c>
      <c r="M22">
        <f t="shared" si="5"/>
        <v>176</v>
      </c>
      <c r="N22">
        <v>57</v>
      </c>
    </row>
    <row r="24" spans="1:18" x14ac:dyDescent="0.25">
      <c r="A24" s="8" t="s">
        <v>21</v>
      </c>
      <c r="E24" s="64" t="s">
        <v>24</v>
      </c>
      <c r="F24" s="64" t="s">
        <v>90</v>
      </c>
      <c r="G24" s="64" t="s">
        <v>80</v>
      </c>
      <c r="H24" s="64" t="s">
        <v>45</v>
      </c>
      <c r="I24" s="64" t="s">
        <v>47</v>
      </c>
      <c r="J24" s="8"/>
      <c r="K24" s="8" t="s">
        <v>59</v>
      </c>
      <c r="L24" s="8" t="s">
        <v>110</v>
      </c>
      <c r="M24" s="38" t="s">
        <v>45</v>
      </c>
      <c r="N24" s="8" t="s">
        <v>111</v>
      </c>
      <c r="P24" s="8" t="s">
        <v>42</v>
      </c>
      <c r="R24" s="8"/>
    </row>
    <row r="25" spans="1:18" x14ac:dyDescent="0.25">
      <c r="A25" t="s">
        <v>4</v>
      </c>
      <c r="B25">
        <v>2200</v>
      </c>
      <c r="C25">
        <v>258</v>
      </c>
      <c r="E25" s="65" t="s">
        <v>63</v>
      </c>
      <c r="F25" s="64"/>
      <c r="G25" s="64"/>
      <c r="H25" s="64"/>
      <c r="I25" s="65"/>
      <c r="K25" t="s">
        <v>63</v>
      </c>
      <c r="L25" s="8"/>
      <c r="M25" s="38"/>
      <c r="N25" s="8"/>
      <c r="P25" t="s">
        <v>4</v>
      </c>
    </row>
    <row r="26" spans="1:18" x14ac:dyDescent="0.25">
      <c r="A26" t="s">
        <v>5</v>
      </c>
      <c r="B26">
        <v>0</v>
      </c>
      <c r="C26">
        <v>0</v>
      </c>
      <c r="E26" t="s">
        <v>43</v>
      </c>
      <c r="F26">
        <v>0</v>
      </c>
      <c r="G26">
        <v>0</v>
      </c>
      <c r="H26">
        <v>0</v>
      </c>
      <c r="I26">
        <v>0</v>
      </c>
      <c r="K26" t="s">
        <v>43</v>
      </c>
      <c r="L26">
        <v>0</v>
      </c>
      <c r="M26">
        <v>0</v>
      </c>
      <c r="N26">
        <v>0</v>
      </c>
      <c r="P26" t="s">
        <v>5</v>
      </c>
    </row>
    <row r="27" spans="1:18" x14ac:dyDescent="0.25">
      <c r="E27" t="s">
        <v>25</v>
      </c>
      <c r="F27">
        <f>1150*4</f>
        <v>4600</v>
      </c>
      <c r="G27">
        <v>4944</v>
      </c>
      <c r="H27">
        <f>8*4</f>
        <v>32</v>
      </c>
      <c r="I27">
        <v>57</v>
      </c>
      <c r="K27" t="s">
        <v>25</v>
      </c>
      <c r="L27">
        <f>1250*4</f>
        <v>5000</v>
      </c>
      <c r="M27">
        <f>8*4</f>
        <v>32</v>
      </c>
      <c r="N27">
        <f>1425*4</f>
        <v>5700</v>
      </c>
      <c r="Q27" s="8" t="s">
        <v>62</v>
      </c>
    </row>
    <row r="28" spans="1:18" x14ac:dyDescent="0.25">
      <c r="E28" t="s">
        <v>26</v>
      </c>
      <c r="F28">
        <f>F27+1150</f>
        <v>5750</v>
      </c>
      <c r="G28">
        <v>6180</v>
      </c>
      <c r="H28">
        <f>H27+8</f>
        <v>40</v>
      </c>
      <c r="I28">
        <v>57</v>
      </c>
      <c r="K28" t="s">
        <v>26</v>
      </c>
      <c r="L28">
        <f>L27+1250</f>
        <v>6250</v>
      </c>
      <c r="M28">
        <f>M27+8</f>
        <v>40</v>
      </c>
      <c r="N28">
        <f>N27+1425</f>
        <v>7125</v>
      </c>
      <c r="Q28">
        <v>16598</v>
      </c>
    </row>
    <row r="29" spans="1:18" x14ac:dyDescent="0.25">
      <c r="E29" t="s">
        <v>27</v>
      </c>
      <c r="F29">
        <f t="shared" ref="F29:F43" si="6">F28+1150</f>
        <v>6900</v>
      </c>
      <c r="G29">
        <v>7416</v>
      </c>
      <c r="H29">
        <f t="shared" ref="H29:H43" si="7">H28+8</f>
        <v>48</v>
      </c>
      <c r="I29">
        <v>57</v>
      </c>
      <c r="K29" t="s">
        <v>27</v>
      </c>
      <c r="L29">
        <f t="shared" ref="L29:L43" si="8">L28+1250</f>
        <v>7500</v>
      </c>
      <c r="M29">
        <f t="shared" ref="M29:M43" si="9">M28+8</f>
        <v>48</v>
      </c>
      <c r="N29">
        <f t="shared" ref="N29:N43" si="10">N28+1425</f>
        <v>8550</v>
      </c>
      <c r="Q29">
        <v>0</v>
      </c>
    </row>
    <row r="30" spans="1:18" x14ac:dyDescent="0.25">
      <c r="E30" t="s">
        <v>28</v>
      </c>
      <c r="F30">
        <f t="shared" si="6"/>
        <v>8050</v>
      </c>
      <c r="G30">
        <v>8652</v>
      </c>
      <c r="H30">
        <f t="shared" si="7"/>
        <v>56</v>
      </c>
      <c r="I30">
        <v>57</v>
      </c>
      <c r="K30" t="s">
        <v>28</v>
      </c>
      <c r="L30">
        <f t="shared" si="8"/>
        <v>8750</v>
      </c>
      <c r="M30">
        <f t="shared" si="9"/>
        <v>56</v>
      </c>
      <c r="N30">
        <f t="shared" si="10"/>
        <v>9975</v>
      </c>
    </row>
    <row r="31" spans="1:18" x14ac:dyDescent="0.25">
      <c r="E31" t="s">
        <v>29</v>
      </c>
      <c r="F31">
        <f t="shared" si="6"/>
        <v>9200</v>
      </c>
      <c r="G31">
        <v>9888</v>
      </c>
      <c r="H31">
        <f t="shared" si="7"/>
        <v>64</v>
      </c>
      <c r="I31">
        <v>57</v>
      </c>
      <c r="K31" t="s">
        <v>29</v>
      </c>
      <c r="L31">
        <f t="shared" si="8"/>
        <v>10000</v>
      </c>
      <c r="M31">
        <f t="shared" si="9"/>
        <v>64</v>
      </c>
      <c r="N31">
        <f t="shared" si="10"/>
        <v>11400</v>
      </c>
    </row>
    <row r="32" spans="1:18" x14ac:dyDescent="0.25">
      <c r="E32" t="s">
        <v>30</v>
      </c>
      <c r="F32">
        <f t="shared" si="6"/>
        <v>10350</v>
      </c>
      <c r="G32">
        <v>11124</v>
      </c>
      <c r="H32">
        <f t="shared" si="7"/>
        <v>72</v>
      </c>
      <c r="I32">
        <v>57</v>
      </c>
      <c r="K32" t="s">
        <v>30</v>
      </c>
      <c r="L32">
        <f t="shared" si="8"/>
        <v>11250</v>
      </c>
      <c r="M32">
        <f t="shared" si="9"/>
        <v>72</v>
      </c>
      <c r="N32">
        <f t="shared" si="10"/>
        <v>12825</v>
      </c>
    </row>
    <row r="33" spans="1:14" x14ac:dyDescent="0.25">
      <c r="A33" t="s">
        <v>101</v>
      </c>
      <c r="E33" t="s">
        <v>31</v>
      </c>
      <c r="F33">
        <f t="shared" si="6"/>
        <v>11500</v>
      </c>
      <c r="G33">
        <v>12360</v>
      </c>
      <c r="H33">
        <f t="shared" si="7"/>
        <v>80</v>
      </c>
      <c r="I33">
        <v>57</v>
      </c>
      <c r="K33" t="s">
        <v>31</v>
      </c>
      <c r="L33">
        <f t="shared" si="8"/>
        <v>12500</v>
      </c>
      <c r="M33">
        <f t="shared" si="9"/>
        <v>80</v>
      </c>
      <c r="N33">
        <f t="shared" si="10"/>
        <v>14250</v>
      </c>
    </row>
    <row r="34" spans="1:14" x14ac:dyDescent="0.25">
      <c r="A34" t="s">
        <v>79</v>
      </c>
      <c r="E34" t="s">
        <v>32</v>
      </c>
      <c r="F34">
        <f t="shared" si="6"/>
        <v>12650</v>
      </c>
      <c r="G34">
        <v>13596</v>
      </c>
      <c r="H34">
        <f t="shared" si="7"/>
        <v>88</v>
      </c>
      <c r="I34">
        <v>57</v>
      </c>
      <c r="K34" t="s">
        <v>32</v>
      </c>
      <c r="L34">
        <f t="shared" si="8"/>
        <v>13750</v>
      </c>
      <c r="M34">
        <f t="shared" si="9"/>
        <v>88</v>
      </c>
      <c r="N34">
        <f t="shared" si="10"/>
        <v>15675</v>
      </c>
    </row>
    <row r="35" spans="1:14" x14ac:dyDescent="0.25">
      <c r="E35" t="s">
        <v>33</v>
      </c>
      <c r="F35">
        <f t="shared" si="6"/>
        <v>13800</v>
      </c>
      <c r="G35">
        <v>14832</v>
      </c>
      <c r="H35">
        <f t="shared" si="7"/>
        <v>96</v>
      </c>
      <c r="I35">
        <v>57</v>
      </c>
      <c r="K35" t="s">
        <v>33</v>
      </c>
      <c r="L35">
        <f t="shared" si="8"/>
        <v>15000</v>
      </c>
      <c r="M35">
        <f t="shared" si="9"/>
        <v>96</v>
      </c>
      <c r="N35">
        <f t="shared" si="10"/>
        <v>17100</v>
      </c>
    </row>
    <row r="36" spans="1:14" x14ac:dyDescent="0.25">
      <c r="A36" t="s">
        <v>105</v>
      </c>
      <c r="E36" t="s">
        <v>34</v>
      </c>
      <c r="F36">
        <f t="shared" si="6"/>
        <v>14950</v>
      </c>
      <c r="G36">
        <v>16068</v>
      </c>
      <c r="H36">
        <f t="shared" si="7"/>
        <v>104</v>
      </c>
      <c r="I36">
        <v>57</v>
      </c>
      <c r="K36" t="s">
        <v>34</v>
      </c>
      <c r="L36">
        <f t="shared" si="8"/>
        <v>16250</v>
      </c>
      <c r="M36">
        <f t="shared" si="9"/>
        <v>104</v>
      </c>
      <c r="N36">
        <f t="shared" si="10"/>
        <v>18525</v>
      </c>
    </row>
    <row r="37" spans="1:14" x14ac:dyDescent="0.25">
      <c r="A37" t="s">
        <v>81</v>
      </c>
      <c r="E37" t="s">
        <v>35</v>
      </c>
      <c r="F37">
        <f t="shared" si="6"/>
        <v>16100</v>
      </c>
      <c r="G37">
        <v>17304</v>
      </c>
      <c r="H37">
        <f t="shared" si="7"/>
        <v>112</v>
      </c>
      <c r="I37">
        <v>57</v>
      </c>
      <c r="K37" t="s">
        <v>35</v>
      </c>
      <c r="L37">
        <f t="shared" si="8"/>
        <v>17500</v>
      </c>
      <c r="M37">
        <f t="shared" si="9"/>
        <v>112</v>
      </c>
      <c r="N37">
        <f t="shared" si="10"/>
        <v>19950</v>
      </c>
    </row>
    <row r="38" spans="1:14" x14ac:dyDescent="0.25">
      <c r="E38" t="s">
        <v>36</v>
      </c>
      <c r="F38">
        <f t="shared" si="6"/>
        <v>17250</v>
      </c>
      <c r="G38">
        <v>18540</v>
      </c>
      <c r="H38">
        <f t="shared" si="7"/>
        <v>120</v>
      </c>
      <c r="I38">
        <v>57</v>
      </c>
      <c r="K38" t="s">
        <v>36</v>
      </c>
      <c r="L38">
        <f t="shared" si="8"/>
        <v>18750</v>
      </c>
      <c r="M38">
        <f t="shared" si="9"/>
        <v>120</v>
      </c>
      <c r="N38">
        <f t="shared" si="10"/>
        <v>21375</v>
      </c>
    </row>
    <row r="39" spans="1:14" x14ac:dyDescent="0.25">
      <c r="E39" t="s">
        <v>37</v>
      </c>
      <c r="F39">
        <f t="shared" si="6"/>
        <v>18400</v>
      </c>
      <c r="G39">
        <v>19776</v>
      </c>
      <c r="H39">
        <f t="shared" si="7"/>
        <v>128</v>
      </c>
      <c r="I39">
        <v>57</v>
      </c>
      <c r="K39" t="s">
        <v>37</v>
      </c>
      <c r="L39">
        <f t="shared" si="8"/>
        <v>20000</v>
      </c>
      <c r="M39">
        <f t="shared" si="9"/>
        <v>128</v>
      </c>
      <c r="N39">
        <f t="shared" si="10"/>
        <v>22800</v>
      </c>
    </row>
    <row r="40" spans="1:14" x14ac:dyDescent="0.25">
      <c r="E40" t="s">
        <v>38</v>
      </c>
      <c r="F40">
        <f t="shared" si="6"/>
        <v>19550</v>
      </c>
      <c r="G40">
        <v>21012</v>
      </c>
      <c r="H40">
        <f t="shared" si="7"/>
        <v>136</v>
      </c>
      <c r="I40">
        <v>57</v>
      </c>
      <c r="K40" t="s">
        <v>38</v>
      </c>
      <c r="L40">
        <f t="shared" si="8"/>
        <v>21250</v>
      </c>
      <c r="M40">
        <f t="shared" si="9"/>
        <v>136</v>
      </c>
      <c r="N40">
        <f t="shared" si="10"/>
        <v>24225</v>
      </c>
    </row>
    <row r="41" spans="1:14" x14ac:dyDescent="0.25">
      <c r="E41" t="s">
        <v>39</v>
      </c>
      <c r="F41">
        <f t="shared" si="6"/>
        <v>20700</v>
      </c>
      <c r="G41">
        <v>22248</v>
      </c>
      <c r="H41">
        <f t="shared" si="7"/>
        <v>144</v>
      </c>
      <c r="I41">
        <v>57</v>
      </c>
      <c r="K41" t="s">
        <v>39</v>
      </c>
      <c r="L41">
        <f t="shared" si="8"/>
        <v>22500</v>
      </c>
      <c r="M41">
        <f t="shared" si="9"/>
        <v>144</v>
      </c>
      <c r="N41">
        <f t="shared" si="10"/>
        <v>25650</v>
      </c>
    </row>
    <row r="42" spans="1:14" x14ac:dyDescent="0.25">
      <c r="E42" t="s">
        <v>40</v>
      </c>
      <c r="F42">
        <f t="shared" si="6"/>
        <v>21850</v>
      </c>
      <c r="G42">
        <v>23484</v>
      </c>
      <c r="H42">
        <f t="shared" si="7"/>
        <v>152</v>
      </c>
      <c r="I42">
        <v>57</v>
      </c>
      <c r="K42" t="s">
        <v>40</v>
      </c>
      <c r="L42">
        <f t="shared" si="8"/>
        <v>23750</v>
      </c>
      <c r="M42">
        <f t="shared" si="9"/>
        <v>152</v>
      </c>
      <c r="N42">
        <f t="shared" si="10"/>
        <v>27075</v>
      </c>
    </row>
    <row r="43" spans="1:14" x14ac:dyDescent="0.25">
      <c r="E43" t="s">
        <v>41</v>
      </c>
      <c r="F43">
        <f t="shared" si="6"/>
        <v>23000</v>
      </c>
      <c r="G43">
        <v>24720</v>
      </c>
      <c r="H43">
        <f t="shared" si="7"/>
        <v>160</v>
      </c>
      <c r="I43">
        <v>57</v>
      </c>
      <c r="K43" t="s">
        <v>41</v>
      </c>
      <c r="L43">
        <f t="shared" si="8"/>
        <v>25000</v>
      </c>
      <c r="M43">
        <f t="shared" si="9"/>
        <v>160</v>
      </c>
      <c r="N43">
        <f t="shared" si="10"/>
        <v>28500</v>
      </c>
    </row>
    <row r="45" spans="1:14" x14ac:dyDescent="0.25">
      <c r="E45" s="64" t="s">
        <v>46</v>
      </c>
      <c r="F45" s="66" t="s">
        <v>90</v>
      </c>
      <c r="G45" s="66" t="s">
        <v>80</v>
      </c>
      <c r="H45" s="66" t="s">
        <v>45</v>
      </c>
      <c r="I45" s="8"/>
    </row>
    <row r="46" spans="1:14" x14ac:dyDescent="0.25">
      <c r="E46" t="s">
        <v>63</v>
      </c>
      <c r="F46" s="38"/>
      <c r="G46" s="38"/>
      <c r="H46" s="38"/>
    </row>
    <row r="47" spans="1:14" x14ac:dyDescent="0.25">
      <c r="E47" t="s">
        <v>43</v>
      </c>
      <c r="F47">
        <v>0</v>
      </c>
      <c r="G47">
        <v>0</v>
      </c>
      <c r="H47">
        <v>0</v>
      </c>
    </row>
    <row r="48" spans="1:14" x14ac:dyDescent="0.25">
      <c r="E48" t="s">
        <v>25</v>
      </c>
      <c r="F48">
        <v>6720</v>
      </c>
      <c r="G48">
        <v>6720</v>
      </c>
      <c r="H48">
        <f>8*4</f>
        <v>32</v>
      </c>
    </row>
    <row r="49" spans="5:8" x14ac:dyDescent="0.25">
      <c r="E49" t="s">
        <v>26</v>
      </c>
      <c r="F49">
        <v>8400</v>
      </c>
      <c r="G49">
        <f>G48+1680</f>
        <v>8400</v>
      </c>
      <c r="H49">
        <f>H48+8</f>
        <v>40</v>
      </c>
    </row>
    <row r="50" spans="5:8" x14ac:dyDescent="0.25">
      <c r="E50" t="s">
        <v>27</v>
      </c>
      <c r="F50">
        <v>10080</v>
      </c>
      <c r="G50">
        <f t="shared" ref="G50:G64" si="11">G49+1680</f>
        <v>10080</v>
      </c>
      <c r="H50">
        <f t="shared" ref="H50:H64" si="12">H49+8</f>
        <v>48</v>
      </c>
    </row>
    <row r="51" spans="5:8" x14ac:dyDescent="0.25">
      <c r="E51" t="s">
        <v>28</v>
      </c>
      <c r="F51">
        <v>11760</v>
      </c>
      <c r="G51">
        <f t="shared" si="11"/>
        <v>11760</v>
      </c>
      <c r="H51">
        <f t="shared" si="12"/>
        <v>56</v>
      </c>
    </row>
    <row r="52" spans="5:8" x14ac:dyDescent="0.25">
      <c r="E52" t="s">
        <v>29</v>
      </c>
      <c r="F52">
        <v>13440</v>
      </c>
      <c r="G52">
        <f t="shared" si="11"/>
        <v>13440</v>
      </c>
      <c r="H52">
        <f t="shared" si="12"/>
        <v>64</v>
      </c>
    </row>
    <row r="53" spans="5:8" x14ac:dyDescent="0.25">
      <c r="E53" t="s">
        <v>30</v>
      </c>
      <c r="F53">
        <v>15120</v>
      </c>
      <c r="G53">
        <f t="shared" si="11"/>
        <v>15120</v>
      </c>
      <c r="H53">
        <f t="shared" si="12"/>
        <v>72</v>
      </c>
    </row>
    <row r="54" spans="5:8" x14ac:dyDescent="0.25">
      <c r="E54" t="s">
        <v>31</v>
      </c>
      <c r="F54">
        <v>16800</v>
      </c>
      <c r="G54">
        <f t="shared" si="11"/>
        <v>16800</v>
      </c>
      <c r="H54">
        <f t="shared" si="12"/>
        <v>80</v>
      </c>
    </row>
    <row r="55" spans="5:8" x14ac:dyDescent="0.25">
      <c r="E55" t="s">
        <v>32</v>
      </c>
      <c r="F55">
        <v>18480</v>
      </c>
      <c r="G55">
        <f t="shared" si="11"/>
        <v>18480</v>
      </c>
      <c r="H55">
        <f t="shared" si="12"/>
        <v>88</v>
      </c>
    </row>
    <row r="56" spans="5:8" x14ac:dyDescent="0.25">
      <c r="E56" t="s">
        <v>33</v>
      </c>
      <c r="F56">
        <v>20160</v>
      </c>
      <c r="G56">
        <f t="shared" si="11"/>
        <v>20160</v>
      </c>
      <c r="H56">
        <f t="shared" si="12"/>
        <v>96</v>
      </c>
    </row>
    <row r="57" spans="5:8" x14ac:dyDescent="0.25">
      <c r="E57" t="s">
        <v>34</v>
      </c>
      <c r="F57">
        <v>21840</v>
      </c>
      <c r="G57">
        <f t="shared" si="11"/>
        <v>21840</v>
      </c>
      <c r="H57">
        <f t="shared" si="12"/>
        <v>104</v>
      </c>
    </row>
    <row r="58" spans="5:8" x14ac:dyDescent="0.25">
      <c r="E58" t="s">
        <v>35</v>
      </c>
      <c r="F58">
        <v>23520</v>
      </c>
      <c r="G58">
        <f t="shared" si="11"/>
        <v>23520</v>
      </c>
      <c r="H58">
        <f t="shared" si="12"/>
        <v>112</v>
      </c>
    </row>
    <row r="59" spans="5:8" x14ac:dyDescent="0.25">
      <c r="E59" t="s">
        <v>36</v>
      </c>
      <c r="F59">
        <v>25200</v>
      </c>
      <c r="G59">
        <f t="shared" si="11"/>
        <v>25200</v>
      </c>
      <c r="H59">
        <f t="shared" si="12"/>
        <v>120</v>
      </c>
    </row>
    <row r="60" spans="5:8" x14ac:dyDescent="0.25">
      <c r="E60" t="s">
        <v>37</v>
      </c>
      <c r="F60">
        <v>26880</v>
      </c>
      <c r="G60">
        <f t="shared" si="11"/>
        <v>26880</v>
      </c>
      <c r="H60">
        <f t="shared" si="12"/>
        <v>128</v>
      </c>
    </row>
    <row r="61" spans="5:8" x14ac:dyDescent="0.25">
      <c r="E61" t="s">
        <v>38</v>
      </c>
      <c r="F61">
        <v>28560</v>
      </c>
      <c r="G61">
        <f t="shared" si="11"/>
        <v>28560</v>
      </c>
      <c r="H61">
        <f t="shared" si="12"/>
        <v>136</v>
      </c>
    </row>
    <row r="62" spans="5:8" x14ac:dyDescent="0.25">
      <c r="E62" t="s">
        <v>39</v>
      </c>
      <c r="F62">
        <v>30240</v>
      </c>
      <c r="G62">
        <f t="shared" si="11"/>
        <v>30240</v>
      </c>
      <c r="H62">
        <f t="shared" si="12"/>
        <v>144</v>
      </c>
    </row>
    <row r="63" spans="5:8" x14ac:dyDescent="0.25">
      <c r="E63" t="s">
        <v>40</v>
      </c>
      <c r="F63">
        <v>31920</v>
      </c>
      <c r="G63">
        <f t="shared" si="11"/>
        <v>31920</v>
      </c>
      <c r="H63">
        <f t="shared" si="12"/>
        <v>152</v>
      </c>
    </row>
    <row r="64" spans="5:8" x14ac:dyDescent="0.25">
      <c r="E64" t="s">
        <v>41</v>
      </c>
      <c r="F64">
        <v>33600</v>
      </c>
      <c r="G64">
        <f t="shared" si="11"/>
        <v>33600</v>
      </c>
      <c r="H64">
        <f t="shared" si="12"/>
        <v>160</v>
      </c>
    </row>
  </sheetData>
  <sheetProtection selectLockedCells="1"/>
  <mergeCells count="1">
    <mergeCell ref="O3:AA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V I 9 W h / j Y d q l A A A A 9 g A A A B I A H A B D b 2 5 m a W c v U G F j a 2 F n Z S 5 4 b W w g o h g A K K A U A A A A A A A A A A A A A A A A A A A A A A A A A A A A h Y 9 L D o I w G I S v Q r q n D 0 h 8 k J + y c C u J C d G 4 b W q F R i i G F s v d X H g k r y B G U X c u Z + a b Z O Z + v U E 2 N H V w U Z 3 V r U k R w x Q F y s j 2 o E 2 Z o t 4 d w w X K O G y E P I l S B S N s b D J Y n a L K u X N C i P c e + x i 3 X U k i S h n Z 5 + t C V q o R o T b W C S M V + r Q O / 1 u I w + 4 1 h k e Y x U v M 5 j N M g U w m 5 N p 8 g W j c + 0 x / T F j 1 t e s 7 x Z U J t w W Q S Q J 5 f + A P U E s D B B Q A A g A I A P l S P V 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5 U j 1 a K I p H u A 4 A A A A R A A A A E w A c A E Z v c m 1 1 b G F z L 1 N l Y 3 R p b 2 4 x L m 0 g o h g A K K A U A A A A A A A A A A A A A A A A A A A A A A A A A A A A K 0 5 N L s n M z 1 M I h t C G 1 g B Q S w E C L Q A U A A I A C A D 5 U j 1 a H + N h 2 q U A A A D 2 A A A A E g A A A A A A A A A A A A A A A A A A A A A A Q 2 9 u Z m l n L 1 B h Y 2 t h Z 2 U u e G 1 s U E s B A i 0 A F A A C A A g A + V I 9 W g / K 6 a u k A A A A 6 Q A A A B M A A A A A A A A A A A A A A A A A 8 Q A A A F t D b 2 5 0 Z W 5 0 X 1 R 5 c G V z X S 5 4 b W x Q S w E C L Q A U A A I A C A D 5 U j 1 a 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M Z o c l 3 v a H 0 m r Y 0 u Y R j L T R A A A A A A C A A A A A A A D Z g A A w A A A A B A A A A C 1 k + 9 Y Z 1 4 F H / y x + H x v K R D 5 A A A A A A S A A A C g A A A A E A A A A E 5 R h q W v J 2 C s K d i J 0 N 0 u 3 2 l Q A A A A r Z t 5 K h G 1 m x J R h X X H z D a 7 8 u g k n J n k C m E g E E h Y X M v V M P b 7 3 7 B m I 5 T n n 0 h i Q Y 7 0 q X r w v x M n 8 c D X N Y p t k T s B r Y j 3 Z A h C t N p d M w o P h j 1 z N S v d C 4 E U A A A A G v c z Y N g d H P 5 w e L p z t 0 s t U f 4 x i / c = < / D a t a M a s h u p > 
</file>

<file path=customXml/itemProps1.xml><?xml version="1.0" encoding="utf-8"?>
<ds:datastoreItem xmlns:ds="http://schemas.openxmlformats.org/officeDocument/2006/customXml" ds:itemID="{4CA9B6E1-4265-4E20-BC2F-58368969C58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9</vt:i4>
      </vt:variant>
    </vt:vector>
  </HeadingPairs>
  <TitlesOfParts>
    <vt:vector size="9" baseType="lpstr">
      <vt:lpstr>Worksheets Home</vt:lpstr>
      <vt:lpstr>BA</vt:lpstr>
      <vt:lpstr>Master's</vt:lpstr>
      <vt:lpstr>Denver MBA</vt:lpstr>
      <vt:lpstr>PMBA</vt:lpstr>
      <vt:lpstr>EMBA</vt:lpstr>
      <vt:lpstr>MBA@Denver</vt:lpstr>
      <vt:lpstr>Executive PhD</vt:lpstr>
      <vt:lpstr>Data1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Westendorf</dc:creator>
  <cp:lastModifiedBy>Jaz Howard</cp:lastModifiedBy>
  <cp:lastPrinted>2019-02-07T21:36:17Z</cp:lastPrinted>
  <dcterms:created xsi:type="dcterms:W3CDTF">2018-06-06T22:54:45Z</dcterms:created>
  <dcterms:modified xsi:type="dcterms:W3CDTF">2026-04-14T16:11:27Z</dcterms:modified>
</cp:coreProperties>
</file>