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R:\Financial Aid\Communication\2627\Billing Worksheets\"/>
    </mc:Choice>
  </mc:AlternateContent>
  <xr:revisionPtr revIDLastSave="0" documentId="13_ncr:1_{37A8456E-D710-4D2B-900E-F5D4686BA856}" xr6:coauthVersionLast="47" xr6:coauthVersionMax="47" xr10:uidLastSave="{00000000-0000-0000-0000-000000000000}"/>
  <workbookProtection workbookAlgorithmName="SHA-512" workbookHashValue="rvIxilzK4TYvU4GG6W6dKpdo3kSiJq0W+YeX0ylTi4/qbm/GqsBO/7tttJ6ZbfdxoDMB803ppvm48Z3XUbYGNQ==" workbookSaltValue="qpsLnA7LQe1Cfc25mHXHKg==" workbookSpinCount="100000" lockStructure="1"/>
  <bookViews>
    <workbookView xWindow="28680" yWindow="-120" windowWidth="29040" windowHeight="15720" tabRatio="721" xr2:uid="{00000000-000D-0000-FFFF-FFFF00000000}"/>
  </bookViews>
  <sheets>
    <sheet name="Worksheets Home" sheetId="4" r:id="rId1"/>
    <sheet name="Music Master's" sheetId="24" r:id="rId2"/>
    <sheet name="Music Cert" sheetId="23" r:id="rId3"/>
    <sheet name="All Other Programs" sheetId="1" r:id="rId4"/>
    <sheet name="Language" sheetId="25" state="hidden" r:id="rId5"/>
    <sheet name="Data" sheetId="2" state="hidden" r:id="rId6"/>
  </sheets>
  <definedNames>
    <definedName name="Credits">Data!$A$6:$A$22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S19" i="1" s="1"/>
  <c r="R8" i="1"/>
  <c r="R19" i="1" s="1"/>
  <c r="Q8" i="1"/>
  <c r="Q19" i="1" s="1"/>
  <c r="P22" i="1" s="1"/>
  <c r="P22" i="23"/>
  <c r="S19" i="23"/>
  <c r="R19" i="23"/>
  <c r="Q19" i="23"/>
  <c r="S8" i="23"/>
  <c r="R8" i="23"/>
  <c r="Q8" i="23"/>
  <c r="P22" i="24"/>
  <c r="Q8" i="24"/>
  <c r="Q19" i="24" s="1"/>
  <c r="S19" i="24"/>
  <c r="R19" i="24"/>
  <c r="S8" i="24"/>
  <c r="R8" i="24"/>
  <c r="L14" i="24"/>
  <c r="N14" i="23"/>
  <c r="H14" i="23" s="1"/>
  <c r="J14" i="23"/>
  <c r="J14" i="1"/>
  <c r="N16" i="1"/>
  <c r="L16" i="1"/>
  <c r="J16" i="1"/>
  <c r="N16" i="23"/>
  <c r="L16" i="23"/>
  <c r="J16" i="23"/>
  <c r="J20" i="24"/>
  <c r="L20" i="24"/>
  <c r="N20" i="24"/>
  <c r="K13" i="2"/>
  <c r="K12" i="2"/>
  <c r="K5" i="2"/>
  <c r="K6" i="2"/>
  <c r="K7" i="2"/>
  <c r="K8" i="2"/>
  <c r="K9" i="2"/>
  <c r="K10" i="2"/>
  <c r="K11" i="2"/>
  <c r="K4" i="2"/>
  <c r="N16" i="24"/>
  <c r="L16" i="24"/>
  <c r="J16" i="24"/>
  <c r="C13" i="2"/>
  <c r="C6" i="2"/>
  <c r="C7" i="2"/>
  <c r="C8" i="2"/>
  <c r="C9" i="2"/>
  <c r="C10" i="2"/>
  <c r="C11" i="2"/>
  <c r="C12" i="2"/>
  <c r="C5" i="2"/>
  <c r="C4" i="2"/>
  <c r="N13" i="1"/>
  <c r="L13" i="1"/>
  <c r="J13" i="1"/>
  <c r="N12" i="1"/>
  <c r="L12" i="1"/>
  <c r="J12" i="1"/>
  <c r="N13" i="23"/>
  <c r="L13" i="23"/>
  <c r="J13" i="23"/>
  <c r="J13" i="24"/>
  <c r="N12" i="23"/>
  <c r="L12" i="23"/>
  <c r="J12" i="23"/>
  <c r="N10" i="23"/>
  <c r="L10" i="23"/>
  <c r="J10" i="23"/>
  <c r="N14" i="24"/>
  <c r="J14" i="24"/>
  <c r="L13" i="24"/>
  <c r="N13" i="24"/>
  <c r="N12" i="24"/>
  <c r="L12" i="24"/>
  <c r="J12" i="24"/>
  <c r="N10" i="24"/>
  <c r="L10" i="24"/>
  <c r="J10" i="24"/>
  <c r="N10" i="1"/>
  <c r="L10" i="1"/>
  <c r="J10" i="1"/>
  <c r="H24" i="24"/>
  <c r="N23" i="24"/>
  <c r="L23" i="24"/>
  <c r="J23" i="24"/>
  <c r="N22" i="24"/>
  <c r="L22" i="24"/>
  <c r="J22" i="24"/>
  <c r="N21" i="24"/>
  <c r="L21" i="24"/>
  <c r="J21" i="24"/>
  <c r="N15" i="24"/>
  <c r="J15" i="24"/>
  <c r="N15" i="23"/>
  <c r="J15" i="23"/>
  <c r="H15" i="23" s="1"/>
  <c r="H15" i="24" l="1"/>
  <c r="H16" i="24"/>
  <c r="H13" i="24"/>
  <c r="N17" i="24"/>
  <c r="L17" i="24"/>
  <c r="H12" i="24"/>
  <c r="H10" i="24"/>
  <c r="H14" i="24"/>
  <c r="J25" i="24"/>
  <c r="N25" i="24"/>
  <c r="L25" i="24"/>
  <c r="H22" i="24"/>
  <c r="J17" i="24"/>
  <c r="L14" i="1"/>
  <c r="H25" i="24" l="1"/>
  <c r="J27" i="24"/>
  <c r="N27" i="24"/>
  <c r="H17" i="24"/>
  <c r="L27" i="24"/>
  <c r="N22" i="23"/>
  <c r="L22" i="23"/>
  <c r="J22" i="23"/>
  <c r="N22" i="1"/>
  <c r="L22" i="1"/>
  <c r="J22" i="1"/>
  <c r="H27" i="24" l="1"/>
  <c r="N14" i="1"/>
  <c r="H14" i="1" l="1"/>
  <c r="H24" i="1"/>
  <c r="N23" i="1"/>
  <c r="L23" i="1"/>
  <c r="J23" i="1"/>
  <c r="N21" i="1"/>
  <c r="L21" i="1"/>
  <c r="J21" i="1"/>
  <c r="N20" i="1"/>
  <c r="L20" i="1"/>
  <c r="J20" i="1"/>
  <c r="N15" i="1"/>
  <c r="J15" i="1"/>
  <c r="H12" i="1"/>
  <c r="N25" i="1" l="1"/>
  <c r="H22" i="1"/>
  <c r="H25" i="1" s="1"/>
  <c r="J25" i="1"/>
  <c r="L25" i="1"/>
  <c r="J17" i="1"/>
  <c r="L17" i="1"/>
  <c r="H15" i="1"/>
  <c r="H16" i="1"/>
  <c r="H13" i="1"/>
  <c r="N17" i="1"/>
  <c r="H10" i="1"/>
  <c r="N27" i="1" l="1"/>
  <c r="L27" i="1"/>
  <c r="J27" i="1"/>
  <c r="H17" i="1"/>
  <c r="H27" i="1" s="1"/>
  <c r="H24" i="23" l="1"/>
  <c r="N23" i="23"/>
  <c r="L23" i="23"/>
  <c r="J23" i="23"/>
  <c r="N21" i="23"/>
  <c r="L21" i="23"/>
  <c r="J21" i="23"/>
  <c r="N20" i="23"/>
  <c r="L20" i="23"/>
  <c r="J20" i="23"/>
  <c r="N17" i="23" l="1"/>
  <c r="L17" i="23"/>
  <c r="J17" i="23"/>
  <c r="H13" i="23"/>
  <c r="H12" i="23"/>
  <c r="H16" i="23"/>
  <c r="H10" i="23"/>
  <c r="H17" i="23" l="1"/>
  <c r="J25" i="23"/>
  <c r="J27" i="23" s="1"/>
  <c r="L25" i="23" l="1"/>
  <c r="L27" i="23" s="1"/>
  <c r="N25" i="23"/>
  <c r="N27" i="23" s="1"/>
  <c r="H22" i="23" l="1"/>
  <c r="H25" i="23" s="1"/>
  <c r="H27" i="23" s="1"/>
</calcChain>
</file>

<file path=xl/sharedStrings.xml><?xml version="1.0" encoding="utf-8"?>
<sst xmlns="http://schemas.openxmlformats.org/spreadsheetml/2006/main" count="148" uniqueCount="56">
  <si>
    <t>Fees:</t>
  </si>
  <si>
    <r>
      <t>Tuition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</si>
  <si>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Technology Fee</t>
    </r>
    <r>
      <rPr>
        <vertAlign val="superscript"/>
        <sz val="11"/>
        <color theme="1"/>
        <rFont val="Calibri"/>
        <family val="2"/>
        <scheme val="minor"/>
      </rPr>
      <t>2</t>
    </r>
  </si>
  <si>
    <t>ANNUAL</t>
  </si>
  <si>
    <t>Yes</t>
  </si>
  <si>
    <t>No</t>
  </si>
  <si>
    <t>Total Charges:</t>
  </si>
  <si>
    <t>CHARGES</t>
  </si>
  <si>
    <t>Outside Scholarship(s)</t>
  </si>
  <si>
    <t>Total Credits:</t>
  </si>
  <si>
    <t>CREDITS</t>
  </si>
  <si>
    <t>Estimated Balance:</t>
  </si>
  <si>
    <t>Notes:</t>
  </si>
  <si>
    <r>
      <t xml:space="preserve">Financial Aid | University Hall 255 | Ph: 303-871-4020 | Fax: 303-871-2341 | </t>
    </r>
    <r>
      <rPr>
        <u/>
        <sz val="11"/>
        <color rgb="FF98002E"/>
        <rFont val="Calibri"/>
        <family val="2"/>
        <scheme val="minor"/>
      </rPr>
      <t>finaid@du.edu</t>
    </r>
    <r>
      <rPr>
        <sz val="11"/>
        <color theme="1"/>
        <rFont val="Calibri"/>
        <family val="2"/>
        <scheme val="minor"/>
      </rPr>
      <t xml:space="preserve"> | </t>
    </r>
    <r>
      <rPr>
        <u/>
        <sz val="11"/>
        <color rgb="FF98002E"/>
        <rFont val="Calibri"/>
        <family val="2"/>
        <scheme val="minor"/>
      </rPr>
      <t>www.du.edu/financialaid</t>
    </r>
  </si>
  <si>
    <t>How many credits do you plan to take each quarter?</t>
  </si>
  <si>
    <t>DU Scholarships and Grants</t>
  </si>
  <si>
    <t>Student Fees</t>
  </si>
  <si>
    <r>
      <t>Direct Unsubsidized Loan</t>
    </r>
    <r>
      <rPr>
        <vertAlign val="superscript"/>
        <sz val="11"/>
        <color theme="1"/>
        <rFont val="Calibri"/>
        <family val="2"/>
        <scheme val="minor"/>
      </rPr>
      <t>3</t>
    </r>
  </si>
  <si>
    <t>Health Insurance</t>
  </si>
  <si>
    <t>Other Annual Assistance</t>
  </si>
  <si>
    <t>Payment(s) Made and/or Employer Reimbursements</t>
  </si>
  <si>
    <t>not enrolled</t>
  </si>
  <si>
    <t>All other programs</t>
  </si>
  <si>
    <t>Will you enroll in DU's Health Insurance Plan?</t>
  </si>
  <si>
    <t>Are you a music student?</t>
  </si>
  <si>
    <t>Music Fee:</t>
  </si>
  <si>
    <t>Choose Your Program:</t>
  </si>
  <si>
    <t>Music certificate programs</t>
  </si>
  <si>
    <r>
      <rPr>
        <b/>
        <i/>
        <sz val="11"/>
        <color rgb="FF000000"/>
        <rFont val="Calibri"/>
        <family val="2"/>
        <scheme val="minor"/>
      </rPr>
      <t xml:space="preserve">Note: </t>
    </r>
    <r>
      <rPr>
        <i/>
        <sz val="11"/>
        <color rgb="FF000000"/>
        <rFont val="Calibri"/>
        <family val="2"/>
        <scheme val="minor"/>
      </rPr>
      <t xml:space="preserve">If you are in a music certificate program, please use the worksheet on the next tab. </t>
    </r>
  </si>
  <si>
    <t>This worksheet automatically deducts the 1.057% origination fee from the Direct Unsubsidized loan amount. Most students who submit the FAFSA
are eligible to borrow up to $20,500 in an unsubsidized loan per academic year.</t>
  </si>
  <si>
    <t>Music Cert</t>
  </si>
  <si>
    <r>
      <t>DU Health &amp; Counseling Fee</t>
    </r>
    <r>
      <rPr>
        <u/>
        <vertAlign val="superscript"/>
        <sz val="11"/>
        <color theme="10"/>
        <rFont val="Calibri"/>
        <family val="2"/>
        <scheme val="minor"/>
      </rPr>
      <t>3</t>
    </r>
  </si>
  <si>
    <r>
      <t>Direct Unsubsidized Loan</t>
    </r>
    <r>
      <rPr>
        <vertAlign val="superscript"/>
        <sz val="11"/>
        <color theme="1"/>
        <rFont val="Calibri"/>
        <family val="2"/>
        <scheme val="minor"/>
      </rPr>
      <t>4</t>
    </r>
  </si>
  <si>
    <t>Remember: This worksheet only includes the most common fees assessed to graduate students. Some courses and programs may have additional fees not listed here.</t>
  </si>
  <si>
    <r>
      <t>DU Health &amp; Counseling Fee</t>
    </r>
    <r>
      <rPr>
        <u/>
        <vertAlign val="superscript"/>
        <sz val="11"/>
        <color theme="10"/>
        <rFont val="Calibri"/>
        <family val="2"/>
        <scheme val="minor"/>
      </rPr>
      <t>3</t>
    </r>
    <r>
      <rPr>
        <u/>
        <sz val="11"/>
        <color theme="10"/>
        <rFont val="Calibri"/>
        <family val="2"/>
        <scheme val="minor"/>
      </rPr>
      <t xml:space="preserve"> </t>
    </r>
  </si>
  <si>
    <t>Music Master's</t>
  </si>
  <si>
    <t>All Other Programs</t>
  </si>
  <si>
    <t>Music master's programs</t>
  </si>
  <si>
    <t>FALL 2026</t>
  </si>
  <si>
    <r>
      <t xml:space="preserve">The Health and Counseling Fee is </t>
    </r>
    <r>
      <rPr>
        <i/>
        <sz val="11"/>
        <color theme="1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 for students who started their program in fall 2024 or later and are enrolled in 8 or more credits. Students
who started prior to fall 2024 can waive this fee (just delete the amount in these fields if you plan to waive it).</t>
    </r>
  </si>
  <si>
    <r>
      <t xml:space="preserve">2026-27 Estimated Billing Worksheets
</t>
    </r>
    <r>
      <rPr>
        <b/>
        <i/>
        <sz val="16"/>
        <color theme="1"/>
        <rFont val="Calibri"/>
        <family val="2"/>
        <scheme val="minor"/>
      </rPr>
      <t>College of Arts, Humanities &amp; Social Sciences</t>
    </r>
  </si>
  <si>
    <r>
      <t>These worksheets are designed to help you estimate your invoices throughout the academic year.</t>
    </r>
    <r>
      <rPr>
        <b/>
        <sz val="11"/>
        <color rgb="FF000000"/>
        <rFont val="Calibri"/>
        <family val="2"/>
        <scheme val="minor"/>
      </rPr>
      <t xml:space="preserve"> In order to complete a worksheet, you'll need a copy of your most recent 2026-27 financial aid offer.</t>
    </r>
    <r>
      <rPr>
        <sz val="11"/>
        <color rgb="FF000000"/>
        <rFont val="Calibri"/>
        <family val="2"/>
        <scheme val="minor"/>
      </rPr>
      <t xml:space="preserve"> Fill in the sections highlighted in blue. You will likely not have all the types of aid listed in the "credits" section. Please remember that these worksheets are only a planning tool. Additional, unanticipated charges or credits may be included on your actual bill. </t>
    </r>
  </si>
  <si>
    <t>2026-27 Estimated Billing Worksheet
Lamont School of Music Master's Programs</t>
  </si>
  <si>
    <t>FALL 2026:</t>
  </si>
  <si>
    <t>WINTER 2027:</t>
  </si>
  <si>
    <t>SPRING 2027:</t>
  </si>
  <si>
    <t>WINTER 2027</t>
  </si>
  <si>
    <t>SPRING 2027</t>
  </si>
  <si>
    <t>Tuition for the 2026-2027 academic year is $1,612 per credit.</t>
  </si>
  <si>
    <t>Technology fees are $8 per credit. If you will be enrolled in less than 4 credits, you will not be eligible for federal student loans.</t>
  </si>
  <si>
    <t>2026-27 Estimated Billing Worksheet
Music Certificate Programs</t>
  </si>
  <si>
    <t>select # credits enrolled</t>
  </si>
  <si>
    <t>2026-27 Estimated Billing Worksheet
Non-Music Programs</t>
  </si>
  <si>
    <t>Tuition for the 2026-2027 academic year is $859 per credit.</t>
  </si>
  <si>
    <t>Tuition for the 2026-2027 academic year is $1,718 per credit.</t>
  </si>
  <si>
    <t>If you plan to be enrolled less than full time in any term, your maximun loan eligibility for your Unsubsidized and/or Graduate PLUS will be adjusted so that it's proportional with your enrollment each term.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</si>
</sst>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4"/>
      <color rgb="FF98002E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98002E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vertAlign val="superscript"/>
      <sz val="11"/>
      <color theme="10"/>
      <name val="Calibri"/>
      <family val="2"/>
      <scheme val="minor"/>
    </font>
    <font>
      <b/>
      <i/>
      <sz val="11"/>
      <color rgb="FFBA0C2F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ash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0" fillId="0" borderId="0" xfId="1" applyFont="1"/>
    <xf numFmtId="0" fontId="6" fillId="0" borderId="0" xfId="0" applyFont="1" applyAlignment="1">
      <alignment horizontal="left"/>
    </xf>
    <xf numFmtId="0" fontId="2" fillId="0" borderId="0" xfId="0" applyFont="1"/>
    <xf numFmtId="44" fontId="2" fillId="0" borderId="0" xfId="1" applyFont="1"/>
    <xf numFmtId="0" fontId="0" fillId="3" borderId="0" xfId="0" applyFill="1" applyAlignment="1">
      <alignment horizontal="left"/>
    </xf>
    <xf numFmtId="0" fontId="0" fillId="3" borderId="0" xfId="0" applyFill="1"/>
    <xf numFmtId="44" fontId="0" fillId="3" borderId="0" xfId="1" applyFont="1" applyFill="1"/>
    <xf numFmtId="0" fontId="0" fillId="3" borderId="0" xfId="0" applyFill="1" applyAlignment="1">
      <alignment horizontal="left" indent="2"/>
    </xf>
    <xf numFmtId="0" fontId="0" fillId="0" borderId="7" xfId="0" applyBorder="1"/>
    <xf numFmtId="0" fontId="7" fillId="0" borderId="7" xfId="0" applyFont="1" applyBorder="1"/>
    <xf numFmtId="44" fontId="0" fillId="2" borderId="6" xfId="1" applyFont="1" applyFill="1" applyBorder="1" applyProtection="1">
      <protection locked="0"/>
    </xf>
    <xf numFmtId="44" fontId="0" fillId="2" borderId="4" xfId="1" applyFont="1" applyFill="1" applyBorder="1" applyProtection="1">
      <protection locked="0"/>
    </xf>
    <xf numFmtId="44" fontId="0" fillId="2" borderId="4" xfId="0" applyNumberFormat="1" applyFill="1" applyBorder="1" applyProtection="1">
      <protection locked="0"/>
    </xf>
    <xf numFmtId="44" fontId="0" fillId="2" borderId="5" xfId="1" applyFont="1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4" fillId="0" borderId="0" xfId="0" applyFont="1" applyAlignment="1" applyProtection="1">
      <alignment horizontal="center" wrapText="1"/>
      <protection locked="0"/>
    </xf>
    <xf numFmtId="44" fontId="10" fillId="0" borderId="7" xfId="1" applyFont="1" applyBorder="1"/>
    <xf numFmtId="0" fontId="10" fillId="0" borderId="7" xfId="0" applyFont="1" applyBorder="1"/>
    <xf numFmtId="0" fontId="0" fillId="3" borderId="3" xfId="0" applyFill="1" applyBorder="1"/>
    <xf numFmtId="44" fontId="0" fillId="3" borderId="3" xfId="1" applyFont="1" applyFill="1" applyBorder="1"/>
    <xf numFmtId="0" fontId="4" fillId="0" borderId="0" xfId="0" applyFont="1" applyAlignment="1">
      <alignment horizontal="left" wrapText="1" indent="1"/>
    </xf>
    <xf numFmtId="44" fontId="0" fillId="3" borderId="0" xfId="1" applyFont="1" applyFill="1" applyBorder="1"/>
    <xf numFmtId="0" fontId="0" fillId="2" borderId="4" xfId="0" applyFill="1" applyBorder="1" applyProtection="1">
      <protection locked="0"/>
    </xf>
    <xf numFmtId="0" fontId="0" fillId="0" borderId="3" xfId="0" applyBorder="1"/>
    <xf numFmtId="44" fontId="0" fillId="0" borderId="3" xfId="1" applyFont="1" applyFill="1" applyBorder="1"/>
    <xf numFmtId="44" fontId="0" fillId="3" borderId="3" xfId="1" applyFont="1" applyFill="1" applyBorder="1" applyProtection="1">
      <protection locked="0"/>
    </xf>
    <xf numFmtId="0" fontId="0" fillId="0" borderId="0" xfId="0" applyAlignment="1">
      <alignment horizontal="left" indent="2"/>
    </xf>
    <xf numFmtId="0" fontId="14" fillId="0" borderId="0" xfId="0" applyFont="1" applyAlignment="1">
      <alignment horizontal="left" vertical="top" indent="3"/>
    </xf>
    <xf numFmtId="0" fontId="13" fillId="0" borderId="0" xfId="2" applyAlignment="1" applyProtection="1">
      <alignment horizontal="left" indent="5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44" fontId="2" fillId="0" borderId="0" xfId="1" applyFont="1" applyAlignment="1">
      <alignment horizontal="center"/>
    </xf>
    <xf numFmtId="0" fontId="11" fillId="0" borderId="0" xfId="0" applyFont="1" applyAlignment="1">
      <alignment horizontal="left" vertical="center" wrapText="1" indent="1"/>
    </xf>
    <xf numFmtId="0" fontId="5" fillId="0" borderId="0" xfId="0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15" fillId="0" borderId="0" xfId="0" applyFont="1" applyAlignment="1">
      <alignment horizontal="left" vertical="top" indent="1"/>
    </xf>
    <xf numFmtId="0" fontId="0" fillId="3" borderId="0" xfId="0" applyFill="1" applyAlignment="1">
      <alignment horizontal="left" indent="1"/>
    </xf>
    <xf numFmtId="44" fontId="0" fillId="0" borderId="0" xfId="1" applyFont="1" applyFill="1" applyBorder="1"/>
    <xf numFmtId="44" fontId="0" fillId="2" borderId="9" xfId="1" applyFont="1" applyFill="1" applyBorder="1" applyProtection="1">
      <protection locked="0"/>
    </xf>
    <xf numFmtId="0" fontId="13" fillId="0" borderId="0" xfId="2" applyAlignment="1" applyProtection="1">
      <alignment horizontal="left" indent="5"/>
    </xf>
    <xf numFmtId="0" fontId="0" fillId="0" borderId="0" xfId="0" applyAlignment="1">
      <alignment horizontal="left" wrapText="1"/>
    </xf>
    <xf numFmtId="0" fontId="19" fillId="0" borderId="0" xfId="0" applyFont="1"/>
    <xf numFmtId="0" fontId="0" fillId="3" borderId="10" xfId="0" applyFill="1" applyBorder="1"/>
    <xf numFmtId="0" fontId="0" fillId="4" borderId="10" xfId="0" applyFill="1" applyBorder="1"/>
    <xf numFmtId="0" fontId="4" fillId="0" borderId="0" xfId="0" applyFont="1" applyAlignment="1">
      <alignment horizontal="center" wrapText="1"/>
    </xf>
    <xf numFmtId="0" fontId="20" fillId="2" borderId="4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 applyProtection="1">
      <alignment horizontal="center" wrapText="1"/>
      <protection locked="0"/>
    </xf>
    <xf numFmtId="0" fontId="2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1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3" borderId="3" xfId="0" applyFill="1" applyBorder="1" applyAlignment="1">
      <alignment horizontal="left"/>
    </xf>
    <xf numFmtId="0" fontId="3" fillId="0" borderId="3" xfId="0" applyFont="1" applyBorder="1" applyAlignment="1">
      <alignment horizontal="right" vertical="top" wrapText="1"/>
    </xf>
    <xf numFmtId="0" fontId="0" fillId="3" borderId="0" xfId="0" applyFill="1" applyAlignment="1">
      <alignment horizontal="center"/>
    </xf>
    <xf numFmtId="0" fontId="13" fillId="0" borderId="0" xfId="2" applyFill="1" applyBorder="1" applyAlignment="1">
      <alignment horizontal="left"/>
    </xf>
    <xf numFmtId="0" fontId="13" fillId="0" borderId="8" xfId="2" applyFill="1" applyBorder="1" applyAlignment="1">
      <alignment horizontal="left"/>
    </xf>
    <xf numFmtId="0" fontId="13" fillId="3" borderId="3" xfId="2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11" fillId="0" borderId="0" xfId="0" applyFont="1" applyAlignment="1">
      <alignment horizontal="left" vertical="center" wrapText="1" indent="1"/>
    </xf>
    <xf numFmtId="0" fontId="13" fillId="3" borderId="0" xfId="2" applyFill="1" applyBorder="1" applyAlignment="1">
      <alignment horizontal="left"/>
    </xf>
    <xf numFmtId="0" fontId="13" fillId="3" borderId="8" xfId="2" applyFill="1" applyBorder="1" applyAlignment="1">
      <alignment horizontal="left"/>
    </xf>
    <xf numFmtId="0" fontId="13" fillId="0" borderId="3" xfId="2" applyFill="1" applyBorder="1" applyAlignment="1">
      <alignment horizontal="left"/>
    </xf>
    <xf numFmtId="0" fontId="23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BA0C2F"/>
      <color rgb="FF980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104760</xdr:rowOff>
    </xdr:from>
    <xdr:to>
      <xdr:col>1</xdr:col>
      <xdr:colOff>1863582</xdr:colOff>
      <xdr:row>1</xdr:row>
      <xdr:rowOff>533400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835"/>
          <a:ext cx="1850247" cy="428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106967</xdr:rowOff>
    </xdr:from>
    <xdr:to>
      <xdr:col>4</xdr:col>
      <xdr:colOff>479439</xdr:colOff>
      <xdr:row>1</xdr:row>
      <xdr:rowOff>529590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FEB9C2-E85D-4C86-927F-A84E70E65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4320" y="329852"/>
          <a:ext cx="1816749" cy="4188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106966</xdr:rowOff>
    </xdr:from>
    <xdr:to>
      <xdr:col>4</xdr:col>
      <xdr:colOff>516744</xdr:colOff>
      <xdr:row>1</xdr:row>
      <xdr:rowOff>533399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6041"/>
          <a:ext cx="1840719" cy="426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106967</xdr:rowOff>
    </xdr:from>
    <xdr:to>
      <xdr:col>4</xdr:col>
      <xdr:colOff>478169</xdr:colOff>
      <xdr:row>1</xdr:row>
      <xdr:rowOff>516890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6042"/>
          <a:ext cx="1799604" cy="416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du.edu/health-and-counseling-center/coveragecosts/fees.html" TargetMode="External"/><Relationship Id="rId1" Type="http://schemas.openxmlformats.org/officeDocument/2006/relationships/hyperlink" Target="https://www.du.edu/health-and-counseling-center/coveragecosts/ship.html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du.edu/health-and-counseling-center/coveragecosts/fees.html" TargetMode="External"/><Relationship Id="rId1" Type="http://schemas.openxmlformats.org/officeDocument/2006/relationships/hyperlink" Target="https://www.du.edu/health-and-counseling-center/coveragecosts/ship.htm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du.edu/health-and-counseling-center/coveragecosts/fees.html" TargetMode="External"/><Relationship Id="rId1" Type="http://schemas.openxmlformats.org/officeDocument/2006/relationships/hyperlink" Target="https://www.du.edu/health-and-counseling-center/coveragecosts/ship.html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16"/>
  <sheetViews>
    <sheetView showGridLines="0" showRowColHeaders="0" tabSelected="1" showRuler="0" zoomScaleNormal="100" workbookViewId="0">
      <selection activeCell="B7" sqref="B7"/>
    </sheetView>
  </sheetViews>
  <sheetFormatPr defaultColWidth="8.90625" defaultRowHeight="14.5" x14ac:dyDescent="0.35"/>
  <cols>
    <col min="1" max="1" width="4.08984375" customWidth="1"/>
    <col min="2" max="2" width="74.90625" customWidth="1"/>
    <col min="3" max="3" width="12.90625" style="5" customWidth="1"/>
    <col min="4" max="4" width="26.453125" customWidth="1"/>
  </cols>
  <sheetData>
    <row r="1" spans="1:4" ht="17.25" customHeight="1" x14ac:dyDescent="0.35">
      <c r="A1" s="36"/>
    </row>
    <row r="2" spans="1:4" ht="47.25" customHeight="1" x14ac:dyDescent="0.5">
      <c r="B2" s="57" t="s">
        <v>40</v>
      </c>
      <c r="C2" s="58"/>
      <c r="D2" s="58"/>
    </row>
    <row r="3" spans="1:4" ht="8.25" customHeight="1" x14ac:dyDescent="0.35">
      <c r="B3" s="19"/>
      <c r="C3" s="21"/>
      <c r="D3" s="21"/>
    </row>
    <row r="4" spans="1:4" ht="66.75" customHeight="1" x14ac:dyDescent="0.35">
      <c r="B4" s="59" t="s">
        <v>41</v>
      </c>
      <c r="C4" s="59"/>
      <c r="D4" s="59"/>
    </row>
    <row r="5" spans="1:4" ht="21.75" customHeight="1" x14ac:dyDescent="0.35">
      <c r="C5"/>
    </row>
    <row r="6" spans="1:4" ht="27" customHeight="1" x14ac:dyDescent="0.35">
      <c r="B6" s="34" t="s">
        <v>26</v>
      </c>
      <c r="C6"/>
    </row>
    <row r="7" spans="1:4" x14ac:dyDescent="0.35">
      <c r="B7" s="35" t="s">
        <v>37</v>
      </c>
      <c r="C7"/>
    </row>
    <row r="8" spans="1:4" x14ac:dyDescent="0.35">
      <c r="B8" s="35" t="s">
        <v>27</v>
      </c>
      <c r="C8"/>
    </row>
    <row r="9" spans="1:4" x14ac:dyDescent="0.35">
      <c r="B9" s="35" t="s">
        <v>22</v>
      </c>
    </row>
    <row r="10" spans="1:4" x14ac:dyDescent="0.35">
      <c r="B10" s="47"/>
    </row>
    <row r="11" spans="1:4" x14ac:dyDescent="0.35">
      <c r="B11" s="47"/>
    </row>
    <row r="12" spans="1:4" x14ac:dyDescent="0.35">
      <c r="B12" s="47"/>
    </row>
    <row r="16" spans="1:4" x14ac:dyDescent="0.35">
      <c r="B16" s="56" t="s">
        <v>13</v>
      </c>
      <c r="C16" s="56"/>
      <c r="D16" s="56"/>
    </row>
  </sheetData>
  <sheetProtection algorithmName="SHA-512" hashValue="eDICqfQ3IxC5ddYLkpj26bbJ7KSkAHuExQ+YOTs84Gmc+4bbcxDaQUjctd+Jx9f3fexTi8YzHuPp0ON0Esyxsw==" saltValue="O/rJVWB02rBxJH5BjOeI2Q==" spinCount="100000" sheet="1" selectLockedCells="1"/>
  <mergeCells count="3">
    <mergeCell ref="B16:D16"/>
    <mergeCell ref="B2:D2"/>
    <mergeCell ref="B4:D4"/>
  </mergeCells>
  <hyperlinks>
    <hyperlink ref="B8" location="'Music Cert'!A1" display="Music certificate programs" xr:uid="{00000000-0004-0000-0000-000000000000}"/>
    <hyperlink ref="B9" location="'All Other Programs'!A1" display="All other programs" xr:uid="{00000000-0004-0000-0000-000001000000}"/>
    <hyperlink ref="B7" location="'Music Master''s'!A1" display="Music master's programs" xr:uid="{4B363607-9A4C-441D-8324-C81F4DE99EC1}"/>
  </hyperlinks>
  <pageMargins left="0.5" right="0.5" top="0.5" bottom="0.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574FC-5968-4B13-8712-7F6621767741}">
  <sheetPr codeName="Sheet2">
    <pageSetUpPr fitToPage="1"/>
  </sheetPr>
  <dimension ref="A1:X38"/>
  <sheetViews>
    <sheetView showGridLines="0" showRowColHeaders="0" showRuler="0" topLeftCell="A2" zoomScaleNormal="100" workbookViewId="0">
      <selection activeCell="F14" sqref="F14"/>
    </sheetView>
  </sheetViews>
  <sheetFormatPr defaultColWidth="8.90625" defaultRowHeight="14.5" x14ac:dyDescent="0.35"/>
  <cols>
    <col min="1" max="1" width="4.08984375" customWidth="1"/>
    <col min="2" max="2" width="2.08984375" customWidth="1"/>
    <col min="5" max="5" width="26.08984375" customWidth="1"/>
    <col min="6" max="6" width="11.453125" bestFit="1" customWidth="1"/>
    <col min="8" max="8" width="14.90625" style="5" customWidth="1"/>
    <col min="9" max="9" width="4.6328125" customWidth="1"/>
    <col min="10" max="10" width="13.453125" style="5" customWidth="1"/>
    <col min="11" max="11" width="4.6328125" customWidth="1"/>
    <col min="12" max="12" width="13.453125" style="5" customWidth="1"/>
    <col min="13" max="13" width="4.6328125" style="5" customWidth="1"/>
    <col min="14" max="14" width="13.453125" style="5" customWidth="1"/>
    <col min="15" max="15" width="3.453125" customWidth="1"/>
  </cols>
  <sheetData>
    <row r="1" spans="1:19" ht="17.25" customHeight="1" x14ac:dyDescent="0.35">
      <c r="A1" s="36"/>
    </row>
    <row r="2" spans="1:19" ht="47.25" customHeight="1" x14ac:dyDescent="0.35">
      <c r="F2" s="62" t="s">
        <v>42</v>
      </c>
      <c r="G2" s="62"/>
      <c r="H2" s="62"/>
      <c r="I2" s="62"/>
      <c r="J2" s="62"/>
      <c r="K2" s="62"/>
      <c r="L2" s="62"/>
      <c r="M2" s="62"/>
      <c r="N2" s="62"/>
      <c r="O2" s="62"/>
    </row>
    <row r="3" spans="1:19" ht="8.25" customHeight="1" x14ac:dyDescent="0.35">
      <c r="B3" s="19"/>
      <c r="C3" s="19"/>
      <c r="D3" s="19"/>
      <c r="E3" s="19"/>
      <c r="F3" s="19"/>
      <c r="G3" s="19"/>
      <c r="H3" s="20"/>
      <c r="I3" s="21"/>
      <c r="J3" s="21"/>
      <c r="K3" s="21"/>
      <c r="L3" s="21"/>
      <c r="M3" s="21"/>
      <c r="N3" s="21"/>
      <c r="O3" s="21"/>
    </row>
    <row r="4" spans="1:19" ht="27.75" customHeight="1" x14ac:dyDescent="0.35">
      <c r="B4" s="39"/>
      <c r="C4" s="43" t="s">
        <v>28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9" ht="19.5" customHeight="1" x14ac:dyDescent="0.35">
      <c r="J5" s="38" t="s">
        <v>43</v>
      </c>
      <c r="L5" s="38" t="s">
        <v>44</v>
      </c>
      <c r="N5" s="38" t="s">
        <v>45</v>
      </c>
    </row>
    <row r="6" spans="1:19" ht="27" customHeight="1" x14ac:dyDescent="0.45">
      <c r="D6" s="6" t="s">
        <v>14</v>
      </c>
      <c r="E6" s="27"/>
      <c r="F6" s="27"/>
      <c r="G6" s="27"/>
      <c r="H6" s="27"/>
      <c r="I6" s="27"/>
      <c r="J6" s="53" t="s">
        <v>51</v>
      </c>
      <c r="L6" s="53" t="s">
        <v>51</v>
      </c>
      <c r="M6" s="22"/>
      <c r="N6" s="54" t="s">
        <v>51</v>
      </c>
      <c r="O6" s="27"/>
    </row>
    <row r="7" spans="1:19" ht="6" customHeight="1" x14ac:dyDescent="0.35"/>
    <row r="8" spans="1:19" ht="15" thickBot="1" x14ac:dyDescent="0.4">
      <c r="B8" s="1" t="s">
        <v>7</v>
      </c>
      <c r="C8" s="1"/>
      <c r="D8" s="2"/>
      <c r="E8" s="2"/>
      <c r="F8" s="2"/>
      <c r="G8" s="2"/>
      <c r="H8" s="4" t="s">
        <v>3</v>
      </c>
      <c r="I8" s="3"/>
      <c r="J8" s="4" t="s">
        <v>38</v>
      </c>
      <c r="K8" s="3"/>
      <c r="L8" s="4" t="s">
        <v>46</v>
      </c>
      <c r="M8" s="4"/>
      <c r="N8" s="4" t="s">
        <v>47</v>
      </c>
      <c r="O8" s="2"/>
      <c r="Q8" s="55" t="str">
        <f>IFERROR(_xlfn.NUMBERVALUE(TRIM(LEFT(J6,2))),"")</f>
        <v/>
      </c>
      <c r="R8" s="55" t="str">
        <f>IFERROR(_xlfn.NUMBERVALUE(TRIM(LEFT(L6,2))),"")</f>
        <v/>
      </c>
      <c r="S8" s="55" t="str">
        <f>IFERROR(_xlfn.NUMBERVALUE(TRIM(LEFT(N6,2))),"")</f>
        <v/>
      </c>
    </row>
    <row r="9" spans="1:19" ht="9" customHeight="1" x14ac:dyDescent="0.35"/>
    <row r="10" spans="1:19" ht="21.75" customHeight="1" x14ac:dyDescent="0.35">
      <c r="B10" s="9" t="s">
        <v>1</v>
      </c>
      <c r="C10" s="9"/>
      <c r="D10" s="63"/>
      <c r="E10" s="63"/>
      <c r="F10" s="10"/>
      <c r="G10" s="10"/>
      <c r="H10" s="11">
        <f>J10+L10+N10</f>
        <v>0</v>
      </c>
      <c r="I10" s="10"/>
      <c r="J10" s="11">
        <f>VLOOKUP(J6, Data!A2:E22, 2, FALSE)</f>
        <v>0</v>
      </c>
      <c r="K10" s="10"/>
      <c r="L10" s="11">
        <f>VLOOKUP(L6, Data!A2:E22, 2, FALSE)</f>
        <v>0</v>
      </c>
      <c r="M10" s="11"/>
      <c r="N10" s="11">
        <f>VLOOKUP(N6, Data!A2:E22, 2, FALSE)</f>
        <v>0</v>
      </c>
      <c r="O10" s="10"/>
    </row>
    <row r="11" spans="1:19" ht="21.75" customHeight="1" x14ac:dyDescent="0.35">
      <c r="B11" s="37" t="s">
        <v>0</v>
      </c>
      <c r="C11" s="37"/>
    </row>
    <row r="12" spans="1:19" ht="21.75" customHeight="1" x14ac:dyDescent="0.35">
      <c r="B12" s="12" t="s">
        <v>2</v>
      </c>
      <c r="C12" s="12"/>
      <c r="D12" s="10"/>
      <c r="E12" s="10"/>
      <c r="F12" s="10"/>
      <c r="G12" s="10"/>
      <c r="H12" s="11">
        <f>J12+L12+N12</f>
        <v>0</v>
      </c>
      <c r="I12" s="10"/>
      <c r="J12" s="11">
        <f>VLOOKUP(J6, Data!A2:E22, 3, FALSE)</f>
        <v>0</v>
      </c>
      <c r="K12" s="10"/>
      <c r="L12" s="11">
        <f>VLOOKUP(L6, Data!A2:E22, 3, FALSE)</f>
        <v>0</v>
      </c>
      <c r="M12" s="11"/>
      <c r="N12" s="11">
        <f>VLOOKUP(N6, Data!A2:E22, 3, FALSE)</f>
        <v>0</v>
      </c>
      <c r="O12" s="10"/>
    </row>
    <row r="13" spans="1:19" ht="21.75" customHeight="1" x14ac:dyDescent="0.35">
      <c r="B13" s="33" t="s">
        <v>16</v>
      </c>
      <c r="C13" s="33"/>
      <c r="H13" s="5">
        <f>J13+L13+N13</f>
        <v>0</v>
      </c>
      <c r="J13" s="5">
        <f>IF(J6&lt;&gt;"not enrolled",(VLOOKUP(J6,Data!A2:D22,4,FALSE)),0)</f>
        <v>0</v>
      </c>
      <c r="L13" s="5">
        <f>IF(L6&lt;&gt;"not enrolled",(VLOOKUP(L6,Data!A2:D22,4,FALSE)),0)</f>
        <v>0</v>
      </c>
      <c r="N13" s="5">
        <f>IF(N6&lt;&gt;"not enrolled",(VLOOKUP(N6,Data!A2:D22,4,FALSE)),0)</f>
        <v>0</v>
      </c>
    </row>
    <row r="14" spans="1:19" ht="21.75" customHeight="1" x14ac:dyDescent="0.35">
      <c r="B14" s="12" t="s">
        <v>24</v>
      </c>
      <c r="C14" s="44"/>
      <c r="D14" s="10"/>
      <c r="E14" s="10"/>
      <c r="F14" s="29" t="s">
        <v>4</v>
      </c>
      <c r="G14" s="10"/>
      <c r="H14" s="11">
        <f>J14+L14+N14</f>
        <v>285</v>
      </c>
      <c r="I14" s="10"/>
      <c r="J14" s="11">
        <f>VLOOKUP(F14,Data!M3:N4,2,FALSE)</f>
        <v>95</v>
      </c>
      <c r="K14" s="10"/>
      <c r="L14" s="11">
        <f>IF((L6&lt;&gt;"not enrolled"),VLOOKUP(F14,Data!M3:N4,2,FALSE),0)</f>
        <v>95</v>
      </c>
      <c r="M14" s="11"/>
      <c r="N14" s="11">
        <f>VLOOKUP(F14,Data!M2:N4,2,FALSE)</f>
        <v>95</v>
      </c>
      <c r="O14" s="10"/>
    </row>
    <row r="15" spans="1:19" ht="21.75" customHeight="1" x14ac:dyDescent="0.35">
      <c r="B15" s="64" t="s">
        <v>23</v>
      </c>
      <c r="C15" s="64"/>
      <c r="D15" s="64"/>
      <c r="E15" s="65"/>
      <c r="F15" s="29" t="s">
        <v>5</v>
      </c>
      <c r="H15" s="45">
        <f>J15+L15+N15</f>
        <v>0</v>
      </c>
      <c r="J15" s="45">
        <f>IF(AND(F15="Yes", J6&lt;&gt;"not enrolled"), (VLOOKUP(F15, Data!A25:C26, 2, FALSE)), 0)</f>
        <v>0</v>
      </c>
      <c r="L15" s="45">
        <v>0</v>
      </c>
      <c r="M15" s="45"/>
      <c r="N15" s="45">
        <f>IF(AND(F15="Yes", N6&lt;&gt;"not enrolled"), (VLOOKUP(F15, Data!A25:C26, 2, FALSE)), 0)</f>
        <v>0</v>
      </c>
    </row>
    <row r="16" spans="1:19" ht="21.75" customHeight="1" x14ac:dyDescent="0.35">
      <c r="B16" s="66" t="s">
        <v>31</v>
      </c>
      <c r="C16" s="66"/>
      <c r="D16" s="66"/>
      <c r="E16" s="66"/>
      <c r="F16" s="50"/>
      <c r="G16" s="25"/>
      <c r="H16" s="26">
        <f>J16+L16+N16</f>
        <v>774</v>
      </c>
      <c r="I16" s="25"/>
      <c r="J16" s="46">
        <f>IF(AND(J6&lt;&gt;"select", J6&lt;&gt;"not enrolled",J6&lt;&gt;"4 credits",J6&lt;&gt;"5 credits",J6&lt;&gt;"6 credits",J6&lt;&gt;"7 credits"), 258, 0)</f>
        <v>258</v>
      </c>
      <c r="K16" s="25"/>
      <c r="L16" s="46">
        <f>IF(AND(L6&lt;&gt;"select",L6&lt;&gt;"not enrolled",L6&lt;&gt;"4 credits",L6&lt;&gt;"5 credits",L6&lt;&gt;"6 credits",L6&lt;&gt;"7 credits"), 258, 0)</f>
        <v>258</v>
      </c>
      <c r="M16" s="26"/>
      <c r="N16" s="46">
        <f>IF(AND(N6&lt;&gt;"select",N6&lt;&gt;"not enrolled",N6&lt;&gt;"4 credits",N6&lt;&gt;"5 credits",N6&lt;&gt;"6 credits",N6&lt;&gt;"7 credits"), 258, 0)</f>
        <v>258</v>
      </c>
      <c r="O16" s="25"/>
    </row>
    <row r="17" spans="2:24" ht="21.75" customHeight="1" x14ac:dyDescent="0.35">
      <c r="D17" s="7" t="s">
        <v>6</v>
      </c>
      <c r="H17" s="8">
        <f>SUM(H10, H12:H16)</f>
        <v>1059</v>
      </c>
      <c r="J17" s="8">
        <f>SUM(J10,J12:J16)</f>
        <v>353</v>
      </c>
      <c r="L17" s="8">
        <f>SUM(L10,L12:L16)</f>
        <v>353</v>
      </c>
      <c r="M17" s="8"/>
      <c r="N17" s="8">
        <f>SUM(N10,N12:N16)</f>
        <v>353</v>
      </c>
    </row>
    <row r="18" spans="2:24" ht="24" customHeight="1" x14ac:dyDescent="0.35"/>
    <row r="19" spans="2:24" ht="15" thickBot="1" x14ac:dyDescent="0.4">
      <c r="B19" s="1" t="s">
        <v>10</v>
      </c>
      <c r="C19" s="1"/>
      <c r="D19" s="2"/>
      <c r="E19" s="2"/>
      <c r="F19" s="2"/>
      <c r="G19" s="2"/>
      <c r="H19" s="4" t="s">
        <v>3</v>
      </c>
      <c r="I19" s="3"/>
      <c r="J19" s="4" t="s">
        <v>38</v>
      </c>
      <c r="K19" s="3"/>
      <c r="L19" s="4" t="s">
        <v>46</v>
      </c>
      <c r="M19" s="4"/>
      <c r="N19" s="4" t="s">
        <v>47</v>
      </c>
      <c r="O19" s="2"/>
      <c r="Q19" s="55">
        <f>IF($J$6="not enrolled",1,IF(Q8&lt;8,1,0))</f>
        <v>0</v>
      </c>
      <c r="R19" s="55">
        <f>IF($L$6="not enrolled",1,IF(R8&lt;8,1,0))</f>
        <v>0</v>
      </c>
      <c r="S19" s="55">
        <f>IF($N$6="not enrolled",1,IF(S8&lt;8,1,0))</f>
        <v>0</v>
      </c>
    </row>
    <row r="20" spans="2:24" ht="21.75" customHeight="1" x14ac:dyDescent="0.35">
      <c r="B20" t="s">
        <v>15</v>
      </c>
      <c r="H20" s="15"/>
      <c r="J20" s="5">
        <f>IF((AND(J6&lt;&gt;"not enrolled", L6&lt;&gt;"not enrolled", N6&lt;&gt;"not enrolled")), (H20/3), IF((AND(J6&lt;&gt;"not enrolled", L6&lt;&gt;"not enrolled", N6="not enrolled")), (H20/2), IF((AND(J6&lt;&gt;"not enrolled", L6="not enrolled", N6="not enrolled")), (H20/1), 0)))</f>
        <v>0</v>
      </c>
      <c r="L20" s="5">
        <f>IF((AND(J6&lt;&gt;"not enrolled", L6&lt;&gt;"not enrolled", N6&lt;&gt;"not enrolled")), (H20/3), IF((AND(J6&lt;&gt;"not enrolled", L6&lt;&gt;"not enrolled", N6="not enrolled")), (H20/2), IF((AND(J6="not enrolled", L6&lt;&gt;"not enrolled", N6&lt;&gt;"not enrolled")), (H20/2), 0)))</f>
        <v>0</v>
      </c>
      <c r="N20" s="5">
        <f>IF((AND(J6&lt;&gt;"not enrolled", L6&lt;&gt;"not enrolled", N6&lt;&gt;"not enrolled")), (H20/3), IF((AND(J6="not enrolled", L6&lt;&gt;"not enrolled", N6&lt;&gt;"not enrolled")), (H20/2), IF((AND(J6="not enrolled", L6="not enrolled", N6&lt;&gt;"not enrolled")), (H20), 0)))</f>
        <v>0</v>
      </c>
    </row>
    <row r="21" spans="2:24" ht="21.75" customHeight="1" x14ac:dyDescent="0.35">
      <c r="B21" s="10" t="s">
        <v>8</v>
      </c>
      <c r="C21" s="10"/>
      <c r="D21" s="10"/>
      <c r="E21" s="10"/>
      <c r="F21" s="10"/>
      <c r="G21" s="10"/>
      <c r="H21" s="16"/>
      <c r="I21" s="10"/>
      <c r="J21" s="11">
        <f>IF((AND(J6&lt;&gt;"not enrolled", L6&lt;&gt;"not enrolled", N6&lt;&gt;"not enrolled")), (H21/3), IF((AND(J6&lt;&gt;"not enrolled", L6&lt;&gt;"not enrolled", N6="not enrolled")), (H21/2), IF((AND(J6&lt;&gt;"not enrolled", L6="not enrolled", N6="not enrolled")), (H21/1), 0)))</f>
        <v>0</v>
      </c>
      <c r="K21" s="10"/>
      <c r="L21" s="11">
        <f>IF((AND(J6&lt;&gt;"not enrolled", L6&lt;&gt;"not enrolled", N6&lt;&gt;"not enrolled")), (H21/3), IF((AND(J6&lt;&gt;"not enrolled", L6&lt;&gt;"not enrolled", N6="not enrolled")), (H21/2), IF((AND(J6="not enrolled", L6&lt;&gt;"not enrolled", N6&lt;&gt;"not enrolled")), (H21/2), 0)))</f>
        <v>0</v>
      </c>
      <c r="M21" s="11"/>
      <c r="N21" s="11">
        <f>IF((AND(J6&lt;&gt;"not enrolled", L6&lt;&gt;"not enrolled", N6&lt;&gt;"not enrolled")), (H21/3), IF((AND(J6="not enrolled", L6&lt;&gt;"not enrolled", N6&lt;&gt;"not enrolled")), (H21/2), IF((AND(J6="not enrolled", L6="not enrolled", N6&lt;&gt;"not enrolled")), (H21), 0)))</f>
        <v>0</v>
      </c>
      <c r="O21" s="10"/>
    </row>
    <row r="22" spans="2:24" ht="21.75" customHeight="1" x14ac:dyDescent="0.35">
      <c r="B22" t="s">
        <v>32</v>
      </c>
      <c r="F22" s="17"/>
      <c r="H22" s="5">
        <f>SUM(J22,L22,N22)</f>
        <v>0</v>
      </c>
      <c r="J22" s="5">
        <f>IF((AND(J6&lt;&gt;"not enrolled", L6&lt;&gt;"not enrolled", N6&lt;&gt;"not enrolled")), ROUND(((F22-(F22*0.01057))/3),0), IF((AND(J6&lt;&gt;"not enrolled", L6&lt;&gt;"not enrolled", N6="not enrolled")), ROUND(((F22-(F22*0.01057))/2),0), IF((AND(J6&lt;&gt;"not enrolled", L6="not enrolled", N6="not enrolled")), ROUND(((F22-(F22*0.01057))/1),0), 0)))</f>
        <v>0</v>
      </c>
      <c r="L22" s="5">
        <f>IF((AND(J6&lt;&gt;"not enrolled", L6&lt;&gt;"not enrolled", N6&lt;&gt;"not enrolled")), ROUND(((F22-(F22*0.01057))/3),0), IF((AND(J6&lt;&gt;"not enrolled", L6&lt;&gt;"not enrolled", N6="not enrolled")), ROUND(((F22-(F22*0.01057))/2),0), IF((AND(J6="not enrolled", L6&lt;&gt;"not enrolled", N6&lt;&gt;"not enrolled")), ROUND(((F22-(F22*0.01057))/2),0), 0)))</f>
        <v>0</v>
      </c>
      <c r="N22" s="5">
        <f>IF((AND(J6&lt;&gt;"not enrolled", L6&lt;&gt;"not enrolled", N6&lt;&gt;"not enrolled")), ROUND(((F22-(F22*0.01057))/3),0), IF((AND(J6="not enrolled", L6&lt;&gt;"not enrolled", N6&lt;&gt;"not enrolled")), ROUND(((F22-(F22*0.01057))/2),0), IF((AND(J6="not enrolled", L6="not enrolled", N6&lt;&gt;"not enrolled")), ROUND(((F22-(F22*0.01057))/1),0), 0)))</f>
        <v>0</v>
      </c>
      <c r="P22" s="60" t="str">
        <f>IFERROR(IF(SUM($Q$19:$T$19)=0,"",Language!$A$1),"")</f>
        <v/>
      </c>
      <c r="Q22" s="60"/>
      <c r="R22" s="60"/>
      <c r="S22" s="60"/>
      <c r="T22" s="60"/>
      <c r="U22" s="60"/>
      <c r="V22" s="60"/>
      <c r="W22" s="60"/>
      <c r="X22" s="60"/>
    </row>
    <row r="23" spans="2:24" ht="21.75" customHeight="1" x14ac:dyDescent="0.35">
      <c r="B23" s="67" t="s">
        <v>19</v>
      </c>
      <c r="C23" s="67"/>
      <c r="D23" s="67"/>
      <c r="E23" s="67"/>
      <c r="F23" s="67"/>
      <c r="H23" s="16"/>
      <c r="J23" s="5">
        <f>IF((AND(J6&lt;&gt;"not enrolled", L6&lt;&gt;"not enrolled", N6&lt;&gt;"not enrolled")), (H23/3), IF((AND(J6&lt;&gt;"not enrolled", L6&lt;&gt;"not enrolled", N6="not enrolled")), (H23/2), IF((AND(J6&lt;&gt;"not enrolled", L6="not enrolled", N6="not enrolled")), (H23/1), 0)))</f>
        <v>0</v>
      </c>
      <c r="L23" s="5">
        <f>IF((AND(J6&lt;&gt;"not enrolled", L6&lt;&gt;"not enrolled", N6&lt;&gt;"not enrolled")), (H23/3), IF((AND(J6&lt;&gt;"not enrolled", L6&lt;&gt;"not enrolled", N6="not enrolled")), (H23/2), IF((AND(J6="not enrolled", L6&lt;&gt;"not enrolled", N6&lt;&gt;"not enrolled")), (H23/2), 0)))</f>
        <v>0</v>
      </c>
      <c r="N23" s="5">
        <f>IF((AND(J6&lt;&gt;"not enrolled", L6&lt;&gt;"not enrolled", N6&lt;&gt;"not enrolled")), (H23/3), IF((AND(J6="not enrolled", L6&lt;&gt;"not enrolled", N6&lt;&gt;"not enrolled")), (H23/2), IF((AND(J6="not enrolled", L6="not enrolled", N6&lt;&gt;"not enrolled")), (H23), 0)))</f>
        <v>0</v>
      </c>
      <c r="P23" s="60"/>
      <c r="Q23" s="60"/>
      <c r="R23" s="60"/>
      <c r="S23" s="60"/>
      <c r="T23" s="60"/>
      <c r="U23" s="60"/>
      <c r="V23" s="60"/>
      <c r="W23" s="60"/>
      <c r="X23" s="60"/>
    </row>
    <row r="24" spans="2:24" ht="21.75" customHeight="1" x14ac:dyDescent="0.35">
      <c r="B24" s="61" t="s">
        <v>20</v>
      </c>
      <c r="C24" s="61"/>
      <c r="D24" s="61"/>
      <c r="E24" s="61"/>
      <c r="F24" s="61"/>
      <c r="G24" s="61"/>
      <c r="H24" s="26">
        <f>J24+L24+N24</f>
        <v>0</v>
      </c>
      <c r="I24" s="25"/>
      <c r="J24" s="18"/>
      <c r="K24" s="25"/>
      <c r="L24" s="18"/>
      <c r="M24" s="32"/>
      <c r="N24" s="46"/>
      <c r="O24" s="25"/>
    </row>
    <row r="25" spans="2:24" ht="21.75" customHeight="1" x14ac:dyDescent="0.35">
      <c r="D25" s="7" t="s">
        <v>9</v>
      </c>
      <c r="H25" s="5">
        <f>SUM(H20:H24)</f>
        <v>0</v>
      </c>
      <c r="J25" s="5">
        <f>SUM(J20:J24)</f>
        <v>0</v>
      </c>
      <c r="L25" s="5">
        <f>SUM(L20:L23,L24)</f>
        <v>0</v>
      </c>
      <c r="N25" s="5">
        <f>SUM(N20:N23,N24)</f>
        <v>0</v>
      </c>
    </row>
    <row r="26" spans="2:24" ht="15" thickBot="1" x14ac:dyDescent="0.4"/>
    <row r="27" spans="2:24" ht="21.75" customHeight="1" thickTop="1" thickBot="1" x14ac:dyDescent="0.5">
      <c r="B27" s="14" t="s">
        <v>11</v>
      </c>
      <c r="C27" s="14"/>
      <c r="D27" s="13"/>
      <c r="E27" s="13"/>
      <c r="F27" s="13"/>
      <c r="G27" s="13"/>
      <c r="H27" s="23">
        <f>H17-H25</f>
        <v>1059</v>
      </c>
      <c r="I27" s="24"/>
      <c r="J27" s="23">
        <f>J17-J25</f>
        <v>353</v>
      </c>
      <c r="K27" s="24"/>
      <c r="L27" s="23">
        <f>L17-L25</f>
        <v>353</v>
      </c>
      <c r="M27" s="23"/>
      <c r="N27" s="23">
        <f>N17-N25</f>
        <v>353</v>
      </c>
      <c r="O27" s="13"/>
    </row>
    <row r="28" spans="2:24" ht="15" thickTop="1" x14ac:dyDescent="0.35"/>
    <row r="29" spans="2:24" x14ac:dyDescent="0.35">
      <c r="B29" s="7" t="s">
        <v>12</v>
      </c>
      <c r="C29" s="7"/>
    </row>
    <row r="30" spans="2:24" ht="20" customHeight="1" x14ac:dyDescent="0.35">
      <c r="B30" s="40">
        <v>1</v>
      </c>
      <c r="C30" s="68" t="s">
        <v>48</v>
      </c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2:24" ht="15.65" customHeight="1" x14ac:dyDescent="0.35">
      <c r="B31" s="42">
        <v>2</v>
      </c>
      <c r="C31" t="s">
        <v>49</v>
      </c>
      <c r="H31"/>
      <c r="J31"/>
      <c r="L31"/>
      <c r="M31"/>
      <c r="N31"/>
    </row>
    <row r="32" spans="2:24" ht="30" customHeight="1" x14ac:dyDescent="0.35">
      <c r="B32" s="41">
        <v>3</v>
      </c>
      <c r="C32" s="68" t="s">
        <v>39</v>
      </c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</row>
    <row r="33" spans="2:15" ht="30" customHeight="1" x14ac:dyDescent="0.35">
      <c r="B33" s="41">
        <v>4</v>
      </c>
      <c r="C33" s="68" t="s">
        <v>29</v>
      </c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</row>
    <row r="34" spans="2:15" ht="20.25" customHeight="1" x14ac:dyDescent="0.35">
      <c r="B34" s="41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</row>
    <row r="35" spans="2:15" ht="21.75" customHeight="1" x14ac:dyDescent="0.35"/>
    <row r="36" spans="2:15" ht="21.75" customHeight="1" x14ac:dyDescent="0.35">
      <c r="B36" s="49" t="s">
        <v>33</v>
      </c>
    </row>
    <row r="38" spans="2:15" x14ac:dyDescent="0.35">
      <c r="B38" s="56" t="s">
        <v>13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</sheetData>
  <sheetProtection algorithmName="SHA-512" hashValue="i7CKa/E0bxUzn+UL5RtAglOnWwvIRQVtbESR7e9BZsHnKooAHCq+ZPp679UwCUazfm3SFd4y6+0VWuA2Ov7pkw==" saltValue="3G9VLYcp8sLi1ZYcQo1+AQ==" spinCount="100000" sheet="1" selectLockedCells="1"/>
  <mergeCells count="12">
    <mergeCell ref="C30:O30"/>
    <mergeCell ref="C32:O32"/>
    <mergeCell ref="C33:O33"/>
    <mergeCell ref="C34:O34"/>
    <mergeCell ref="B38:O38"/>
    <mergeCell ref="P22:X23"/>
    <mergeCell ref="B24:G24"/>
    <mergeCell ref="F2:O2"/>
    <mergeCell ref="D10:E10"/>
    <mergeCell ref="B15:E15"/>
    <mergeCell ref="B16:E16"/>
    <mergeCell ref="B23:F23"/>
  </mergeCells>
  <hyperlinks>
    <hyperlink ref="B15" r:id="rId1" display="Will you enroll in DU's health insurance plan?" xr:uid="{16DDEEDB-C620-406E-9AAA-7AC3CCDD8401}"/>
    <hyperlink ref="B16" r:id="rId2" display="Will you use DU Health &amp; Counseling Services? " xr:uid="{8528E30F-24DC-4047-AFF0-D64267271779}"/>
  </hyperlinks>
  <pageMargins left="0.5" right="0.5" top="0.5" bottom="0.5" header="0.3" footer="0.3"/>
  <pageSetup scale="66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366311C-E377-4E82-9AAC-C2E971A813B9}">
          <x14:formula1>
            <xm:f>Data!$A$2:$A$22</xm:f>
          </x14:formula1>
          <xm:sqref>N6 J6 L6</xm:sqref>
        </x14:dataValidation>
        <x14:dataValidation type="list" allowBlank="1" showInputMessage="1" showErrorMessage="1" xr:uid="{3F672482-7D27-4BF9-94EA-64B6FA122586}">
          <x14:formula1>
            <xm:f>Data!$A$25:$A$26</xm:f>
          </x14:formula1>
          <xm:sqref>F14:F15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X37"/>
  <sheetViews>
    <sheetView showGridLines="0" showRowColHeaders="0" showRuler="0" zoomScaleNormal="100" workbookViewId="0">
      <selection activeCell="F14" sqref="F14"/>
    </sheetView>
  </sheetViews>
  <sheetFormatPr defaultColWidth="8.90625" defaultRowHeight="14.5" x14ac:dyDescent="0.35"/>
  <cols>
    <col min="1" max="1" width="4.08984375" customWidth="1"/>
    <col min="2" max="2" width="2.08984375" customWidth="1"/>
    <col min="5" max="5" width="26.08984375" customWidth="1"/>
    <col min="6" max="6" width="11.453125" bestFit="1" customWidth="1"/>
    <col min="8" max="8" width="14.90625" style="5" customWidth="1"/>
    <col min="9" max="9" width="4.6328125" customWidth="1"/>
    <col min="10" max="10" width="13.453125" style="5" customWidth="1"/>
    <col min="11" max="11" width="4.6328125" customWidth="1"/>
    <col min="12" max="12" width="13.453125" style="5" customWidth="1"/>
    <col min="13" max="13" width="4.6328125" style="5" customWidth="1"/>
    <col min="14" max="14" width="13.453125" style="5" customWidth="1"/>
    <col min="15" max="15" width="3.453125" customWidth="1"/>
  </cols>
  <sheetData>
    <row r="1" spans="2:19" ht="17.25" customHeight="1" x14ac:dyDescent="0.35"/>
    <row r="2" spans="2:19" ht="47.25" customHeight="1" x14ac:dyDescent="0.35">
      <c r="H2" s="69" t="s">
        <v>50</v>
      </c>
      <c r="I2" s="70"/>
      <c r="J2" s="70"/>
      <c r="K2" s="70"/>
      <c r="L2" s="70"/>
      <c r="M2" s="70"/>
      <c r="N2" s="70"/>
      <c r="O2" s="70"/>
    </row>
    <row r="3" spans="2:19" ht="8.25" customHeight="1" x14ac:dyDescent="0.35">
      <c r="B3" s="19"/>
      <c r="C3" s="19"/>
      <c r="D3" s="19"/>
      <c r="E3" s="19"/>
      <c r="F3" s="19"/>
      <c r="G3" s="19"/>
      <c r="H3" s="20"/>
      <c r="I3" s="21"/>
      <c r="J3" s="21"/>
      <c r="K3" s="21"/>
      <c r="L3" s="21"/>
      <c r="M3" s="21"/>
      <c r="N3" s="21"/>
      <c r="O3" s="21"/>
    </row>
    <row r="4" spans="2:19" ht="6.75" customHeight="1" x14ac:dyDescent="0.3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2:19" ht="19.5" customHeight="1" x14ac:dyDescent="0.35">
      <c r="J5" s="38" t="s">
        <v>43</v>
      </c>
      <c r="L5" s="38" t="s">
        <v>44</v>
      </c>
      <c r="N5" s="38" t="s">
        <v>45</v>
      </c>
    </row>
    <row r="6" spans="2:19" ht="27.75" customHeight="1" x14ac:dyDescent="0.45">
      <c r="D6" s="6" t="s">
        <v>14</v>
      </c>
      <c r="E6" s="27"/>
      <c r="F6" s="27"/>
      <c r="G6" s="27"/>
      <c r="H6" s="27"/>
      <c r="I6" s="27"/>
      <c r="J6" s="53" t="s">
        <v>51</v>
      </c>
      <c r="L6" s="53" t="s">
        <v>51</v>
      </c>
      <c r="M6" s="52"/>
      <c r="N6" s="53" t="s">
        <v>51</v>
      </c>
      <c r="O6" s="27"/>
    </row>
    <row r="7" spans="2:19" ht="6" customHeight="1" x14ac:dyDescent="0.35"/>
    <row r="8" spans="2:19" ht="15" thickBot="1" x14ac:dyDescent="0.4">
      <c r="B8" s="1" t="s">
        <v>7</v>
      </c>
      <c r="C8" s="1"/>
      <c r="D8" s="2"/>
      <c r="E8" s="2"/>
      <c r="F8" s="2"/>
      <c r="G8" s="2"/>
      <c r="H8" s="4" t="s">
        <v>3</v>
      </c>
      <c r="I8" s="3"/>
      <c r="J8" s="4" t="s">
        <v>38</v>
      </c>
      <c r="K8" s="3"/>
      <c r="L8" s="4" t="s">
        <v>46</v>
      </c>
      <c r="M8" s="4"/>
      <c r="N8" s="4" t="s">
        <v>47</v>
      </c>
      <c r="O8" s="2"/>
      <c r="Q8" s="55" t="str">
        <f>IFERROR(_xlfn.NUMBERVALUE(TRIM(LEFT(J6,2))),"")</f>
        <v/>
      </c>
      <c r="R8" s="55" t="str">
        <f>IFERROR(_xlfn.NUMBERVALUE(TRIM(LEFT(L6,2))),"")</f>
        <v/>
      </c>
      <c r="S8" s="55" t="str">
        <f>IFERROR(_xlfn.NUMBERVALUE(TRIM(LEFT(N6,2))),"")</f>
        <v/>
      </c>
    </row>
    <row r="9" spans="2:19" ht="9" customHeight="1" x14ac:dyDescent="0.35"/>
    <row r="10" spans="2:19" ht="21.75" customHeight="1" x14ac:dyDescent="0.35">
      <c r="B10" s="9" t="s">
        <v>1</v>
      </c>
      <c r="C10" s="9"/>
      <c r="D10" s="63"/>
      <c r="E10" s="63"/>
      <c r="F10" s="10"/>
      <c r="G10" s="10"/>
      <c r="H10" s="11">
        <f>J10+L10+N10</f>
        <v>0</v>
      </c>
      <c r="I10" s="10"/>
      <c r="J10" s="11">
        <f>VLOOKUP(J6, Data!I2:K22, 2, FALSE)</f>
        <v>0</v>
      </c>
      <c r="K10" s="10"/>
      <c r="L10" s="11">
        <f>VLOOKUP(L6, Data!I2:K22, 2, FALSE)</f>
        <v>0</v>
      </c>
      <c r="M10" s="11"/>
      <c r="N10" s="11">
        <f>VLOOKUP(N6, Data!I2:K22, 2, FALSE)</f>
        <v>0</v>
      </c>
      <c r="O10" s="10"/>
    </row>
    <row r="11" spans="2:19" ht="21.75" customHeight="1" x14ac:dyDescent="0.35">
      <c r="B11" s="37" t="s">
        <v>0</v>
      </c>
      <c r="C11" s="37"/>
    </row>
    <row r="12" spans="2:19" ht="21.75" customHeight="1" x14ac:dyDescent="0.35">
      <c r="B12" s="12" t="s">
        <v>2</v>
      </c>
      <c r="C12" s="12"/>
      <c r="D12" s="10"/>
      <c r="E12" s="10"/>
      <c r="F12" s="10"/>
      <c r="G12" s="10"/>
      <c r="H12" s="11">
        <f>J12+L12+N12</f>
        <v>0</v>
      </c>
      <c r="I12" s="10"/>
      <c r="J12" s="11">
        <f>VLOOKUP(J6, Data!I2:K22, 3, FALSE)</f>
        <v>0</v>
      </c>
      <c r="K12" s="10"/>
      <c r="L12" s="11">
        <f>VLOOKUP(L6, Data!I2:K22, 3, FALSE)</f>
        <v>0</v>
      </c>
      <c r="M12" s="11"/>
      <c r="N12" s="11">
        <f>VLOOKUP(N6, Data!I2:K22, 3, FALSE)</f>
        <v>0</v>
      </c>
      <c r="O12" s="10"/>
    </row>
    <row r="13" spans="2:19" ht="21.75" customHeight="1" x14ac:dyDescent="0.35">
      <c r="B13" s="33" t="s">
        <v>16</v>
      </c>
      <c r="C13" s="33"/>
      <c r="H13" s="5">
        <f>J13+L13+N13</f>
        <v>0</v>
      </c>
      <c r="J13" s="5">
        <f>IF(J6&lt;&gt;"not enrolled",(VLOOKUP(J6,Data!A2:D22,4,FALSE)),0)</f>
        <v>0</v>
      </c>
      <c r="L13" s="5">
        <f>IF(L6&lt;&gt;"not enrolled",(VLOOKUP(L6,Data!A2:D22,4,FALSE)),0)</f>
        <v>0</v>
      </c>
      <c r="N13" s="5">
        <f>IF(N6&lt;&gt;"not enrolled",(VLOOKUP(N6,Data!A2:D22,4,FALSE)),0)</f>
        <v>0</v>
      </c>
    </row>
    <row r="14" spans="2:19" ht="21.75" customHeight="1" x14ac:dyDescent="0.35">
      <c r="B14" s="33" t="s">
        <v>24</v>
      </c>
      <c r="C14" s="33"/>
      <c r="F14" s="29" t="s">
        <v>4</v>
      </c>
      <c r="H14" s="5">
        <f>J14+L14+N14</f>
        <v>190</v>
      </c>
      <c r="J14" s="5">
        <f>VLOOKUP(F14,Data!M3:N4,2,FALSE)</f>
        <v>95</v>
      </c>
      <c r="N14" s="5">
        <f>VLOOKUP(F14,Data!M3:N4,2,FALSE)</f>
        <v>95</v>
      </c>
    </row>
    <row r="15" spans="2:19" ht="21.75" customHeight="1" x14ac:dyDescent="0.35">
      <c r="B15" s="72" t="s">
        <v>23</v>
      </c>
      <c r="C15" s="72"/>
      <c r="D15" s="72"/>
      <c r="E15" s="73"/>
      <c r="F15" s="29" t="s">
        <v>5</v>
      </c>
      <c r="G15" s="10"/>
      <c r="H15" s="28">
        <f>J15+L15+N15</f>
        <v>0</v>
      </c>
      <c r="I15" s="10"/>
      <c r="J15" s="28">
        <f>IF(AND(F15="Yes", J6&lt;&gt;"not enrolled", J6&lt;&gt;"select"), (VLOOKUP(F15, Data!A25:C26, 2, FALSE)), 0)</f>
        <v>0</v>
      </c>
      <c r="K15" s="10"/>
      <c r="L15" s="28">
        <v>0</v>
      </c>
      <c r="M15" s="28"/>
      <c r="N15" s="28">
        <f>IF(AND(F15="Yes", N6&lt;&gt;"not enrolled",N6&lt;&gt;"select"), (VLOOKUP(F15, Data!A25:C26, 2, FALSE)), 0)</f>
        <v>0</v>
      </c>
      <c r="O15" s="10"/>
    </row>
    <row r="16" spans="2:19" ht="21.75" customHeight="1" x14ac:dyDescent="0.35">
      <c r="B16" s="74" t="s">
        <v>34</v>
      </c>
      <c r="C16" s="74"/>
      <c r="D16" s="74"/>
      <c r="E16" s="74"/>
      <c r="F16" s="51"/>
      <c r="G16" s="30"/>
      <c r="H16" s="31">
        <f>J16+L16+N16</f>
        <v>774</v>
      </c>
      <c r="I16" s="30"/>
      <c r="J16" s="46">
        <f>IF(AND(J6&lt;&gt;"select",J6&lt;&gt;"not enrolled",J6&lt;&gt;"4 credits",J6&lt;&gt;"5 credits",J6&lt;&gt;"6 credits",J6&lt;&gt;"7 credits"), 258, 0)</f>
        <v>258</v>
      </c>
      <c r="K16" s="30"/>
      <c r="L16" s="46">
        <f>IF(AND(L6&lt;&gt;"select",L6&lt;&gt;"not enrolled",L6&lt;&gt;"4 credits",L6&lt;&gt;"5 credits",L6&lt;&gt;"6 credits",L6&lt;&gt;"7 credits"), 258, 0)</f>
        <v>258</v>
      </c>
      <c r="M16" s="31"/>
      <c r="N16" s="46">
        <f>IF(AND(N6&lt;&gt;"select",N6&lt;&gt;"not enrolled", N6&lt;&gt;"4 credits",N6&lt;&gt;"5 credits",N6&lt;&gt;"6 credits",N6&lt;&gt;"7 credits"), 258, 0)</f>
        <v>258</v>
      </c>
      <c r="O16" s="30"/>
    </row>
    <row r="17" spans="2:24" ht="21.75" customHeight="1" x14ac:dyDescent="0.35">
      <c r="D17" s="7" t="s">
        <v>6</v>
      </c>
      <c r="H17" s="8">
        <f>SUM(H10, H12:H16)</f>
        <v>964</v>
      </c>
      <c r="J17" s="8">
        <f>SUM(J10,J12:J16)</f>
        <v>353</v>
      </c>
      <c r="L17" s="8">
        <f>SUM(L10,L12:L16)</f>
        <v>258</v>
      </c>
      <c r="M17" s="8"/>
      <c r="N17" s="8">
        <f>SUM(N10,N12:N16)</f>
        <v>353</v>
      </c>
    </row>
    <row r="18" spans="2:24" ht="24" customHeight="1" x14ac:dyDescent="0.35"/>
    <row r="19" spans="2:24" ht="15" thickBot="1" x14ac:dyDescent="0.4">
      <c r="B19" s="1" t="s">
        <v>10</v>
      </c>
      <c r="C19" s="1"/>
      <c r="D19" s="2"/>
      <c r="E19" s="2"/>
      <c r="F19" s="2"/>
      <c r="G19" s="2"/>
      <c r="H19" s="4" t="s">
        <v>3</v>
      </c>
      <c r="I19" s="3"/>
      <c r="J19" s="4" t="s">
        <v>38</v>
      </c>
      <c r="K19" s="3"/>
      <c r="L19" s="4" t="s">
        <v>46</v>
      </c>
      <c r="M19" s="4"/>
      <c r="N19" s="4" t="s">
        <v>47</v>
      </c>
      <c r="O19" s="2"/>
      <c r="Q19" s="55">
        <f>IF($J$6="not enrolled",1,IF(Q8&lt;8,1,0))</f>
        <v>0</v>
      </c>
      <c r="R19" s="55">
        <f>IF($L$6="not enrolled",1,IF(R8&lt;8,1,0))</f>
        <v>0</v>
      </c>
      <c r="S19" s="55">
        <f>IF($N$6="not enrolled",1,IF(S8&lt;8,1,0))</f>
        <v>0</v>
      </c>
    </row>
    <row r="20" spans="2:24" ht="21.75" customHeight="1" x14ac:dyDescent="0.35">
      <c r="B20" t="s">
        <v>15</v>
      </c>
      <c r="H20" s="15"/>
      <c r="J20" s="5">
        <f>IF((AND(J6&lt;&gt;"not enrolled", L6&lt;&gt;"not enrolled", N6&lt;&gt;"not enrolled")), (H20/3), IF((AND(J6&lt;&gt;"not enrolled", L6&lt;&gt;"not enrolled", N6="not enrolled")), (H20/2), IF((AND(J6&lt;&gt;"not enrolled", L6="not enrolled", N6="not enrolled")), (H20/1), 0)))</f>
        <v>0</v>
      </c>
      <c r="L20" s="5">
        <f>IF((AND(J6&lt;&gt;"not enrolled", L6&lt;&gt;"not enrolled", N6&lt;&gt;"not enrolled")), (H20/3), IF((AND(J6&lt;&gt;"not enrolled", L6&lt;&gt;"not enrolled", N6="not enrolled")), (H20/2), IF((AND(J6="not enrolled", L6&lt;&gt;"not enrolled", N6&lt;&gt;"not enrolled")), (H20/2), 0)))</f>
        <v>0</v>
      </c>
      <c r="N20" s="5">
        <f>IF((AND(J6&lt;&gt;"not enrolled", L6&lt;&gt;"not enrolled", N6&lt;&gt;"not enrolled")), (H20/3), IF((AND(J6="not enrolled", L6&lt;&gt;"not enrolled", N6&lt;&gt;"not enrolled")), (H20/2), IF((AND(J6="not enrolled", L6="not enrolled", N6&lt;&gt;"not enrolled")), (H20), 0)))</f>
        <v>0</v>
      </c>
    </row>
    <row r="21" spans="2:24" ht="21.75" customHeight="1" x14ac:dyDescent="0.35">
      <c r="B21" s="10" t="s">
        <v>8</v>
      </c>
      <c r="C21" s="10"/>
      <c r="D21" s="10"/>
      <c r="E21" s="10"/>
      <c r="F21" s="10"/>
      <c r="G21" s="10"/>
      <c r="H21" s="16"/>
      <c r="I21" s="10"/>
      <c r="J21" s="11">
        <f>IF((AND(J6&lt;&gt;"not enrolled", L6&lt;&gt;"not enrolled", N6&lt;&gt;"not enrolled")), (H21/3), IF((AND(J6&lt;&gt;"not enrolled", L6&lt;&gt;"not enrolled", N6="not enrolled")), (H21/2), IF((AND(J6&lt;&gt;"not enrolled", L6="not enrolled", N6="not enrolled")), (H21/1), 0)))</f>
        <v>0</v>
      </c>
      <c r="K21" s="10"/>
      <c r="L21" s="11">
        <f>IF((AND(J6&lt;&gt;"not enrolled", L6&lt;&gt;"not enrolled", N6&lt;&gt;"not enrolled")), (H21/3), IF((AND(J6&lt;&gt;"not enrolled", L6&lt;&gt;"not enrolled", N6="not enrolled")), (H21/2), IF((AND(J6="not enrolled", L6&lt;&gt;"not enrolled", N6&lt;&gt;"not enrolled")), (H21/2), 0)))</f>
        <v>0</v>
      </c>
      <c r="M21" s="11"/>
      <c r="N21" s="11">
        <f>IF((AND(J6&lt;&gt;"not enrolled", L6&lt;&gt;"not enrolled", N6&lt;&gt;"not enrolled")), (H21/3), IF((AND(J6="not enrolled", L6&lt;&gt;"not enrolled", N6&lt;&gt;"not enrolled")), (H21/2), IF((AND(J6="not enrolled", L6="not enrolled", N6&lt;&gt;"not enrolled")), (H21), 0)))</f>
        <v>0</v>
      </c>
      <c r="O21" s="10"/>
    </row>
    <row r="22" spans="2:24" ht="21.75" customHeight="1" x14ac:dyDescent="0.35">
      <c r="B22" t="s">
        <v>17</v>
      </c>
      <c r="F22" s="17"/>
      <c r="H22" s="5">
        <f>SUM(J22,L22,N22)</f>
        <v>0</v>
      </c>
      <c r="J22" s="5">
        <f>IF((AND(J6&lt;&gt;"not enrolled", L6&lt;&gt;"not enrolled", N6&lt;&gt;"not enrolled")), ROUND(((F22-(F22*0.01057))/3),0), IF((AND(J6&lt;&gt;"not enrolled", L6&lt;&gt;"not enrolled", N6="not enrolled")), ROUND(((F22-(F22*0.01057))/2),0), IF((AND(J6&lt;&gt;"not enrolled", L6="not enrolled", N6="not enrolled")), ROUND(((F22-(F22*0.01057))/1),0), 0)))</f>
        <v>0</v>
      </c>
      <c r="L22" s="5">
        <f>IF((AND(J6&lt;&gt;"not enrolled", L6&lt;&gt;"not enrolled", N6&lt;&gt;"not enrolled")), ROUND(((F22-(F22*0.01057))/3),0), IF((AND(J6&lt;&gt;"not enrolled", L6&lt;&gt;"not enrolled", N6="not enrolled")), ROUND(((F22-(F22*0.01057))/2),0), IF((AND(J6="not enrolled", L6&lt;&gt;"not enrolled", N6&lt;&gt;"not enrolled")), ROUND(((F22-(F22*0.01057))/2),0), 0)))</f>
        <v>0</v>
      </c>
      <c r="N22" s="5">
        <f>IF((AND(J6&lt;&gt;"not enrolled", L6&lt;&gt;"not enrolled", N6&lt;&gt;"not enrolled")), ROUND(((F22-(F22*0.01057))/3),0), IF((AND(J6="not enrolled", L6&lt;&gt;"not enrolled", N6&lt;&gt;"not enrolled")), ROUND(((F22-(F22*0.01057))/2),0), IF((AND(J6="not enrolled", L6="not enrolled", N6&lt;&gt;"not enrolled")), ROUND(((F22-(F22*0.01057))/1),0), 0)))</f>
        <v>0</v>
      </c>
      <c r="P22" s="60" t="str">
        <f>IFERROR(IF(SUM($Q$19:$T$19)=0,"",Language!$A$1),"")</f>
        <v/>
      </c>
      <c r="Q22" s="60"/>
      <c r="R22" s="60"/>
      <c r="S22" s="60"/>
      <c r="T22" s="60"/>
      <c r="U22" s="60"/>
      <c r="V22" s="60"/>
      <c r="W22" s="60"/>
      <c r="X22" s="60"/>
    </row>
    <row r="23" spans="2:24" ht="21.75" customHeight="1" x14ac:dyDescent="0.35">
      <c r="B23" s="67" t="s">
        <v>19</v>
      </c>
      <c r="C23" s="67"/>
      <c r="D23" s="67"/>
      <c r="E23" s="67"/>
      <c r="F23" s="67"/>
      <c r="H23" s="16"/>
      <c r="J23" s="5">
        <f>IF((AND(J6&lt;&gt;"not enrolled", L6&lt;&gt;"not enrolled", N6&lt;&gt;"not enrolled")), (H23/3), IF((AND(J6&lt;&gt;"not enrolled", L6&lt;&gt;"not enrolled", N6="not enrolled")), (H23/2), IF((AND(J6&lt;&gt;"not enrolled", L6="not enrolled", N6="not enrolled")), (H23/1), 0)))</f>
        <v>0</v>
      </c>
      <c r="L23" s="5">
        <f>IF((AND(J6&lt;&gt;"not enrolled", L6&lt;&gt;"not enrolled", N6&lt;&gt;"not enrolled")), (H23/3), IF((AND(J6&lt;&gt;"not enrolled", L6&lt;&gt;"not enrolled", N6="not enrolled")), (H23/2), IF((AND(J6="not enrolled", L6&lt;&gt;"not enrolled", N6&lt;&gt;"not enrolled")), (H23/2), 0)))</f>
        <v>0</v>
      </c>
      <c r="N23" s="5">
        <f>IF((AND(J6&lt;&gt;"not enrolled", L6&lt;&gt;"not enrolled", N6&lt;&gt;"not enrolled")), (H23/3), IF((AND(J6="not enrolled", L6&lt;&gt;"not enrolled", N6&lt;&gt;"not enrolled")), (H23/2), IF((AND(J6="not enrolled", L6="not enrolled", N6&lt;&gt;"not enrolled")), (H23), 0)))</f>
        <v>0</v>
      </c>
      <c r="P23" s="60"/>
      <c r="Q23" s="60"/>
      <c r="R23" s="60"/>
      <c r="S23" s="60"/>
      <c r="T23" s="60"/>
      <c r="U23" s="60"/>
      <c r="V23" s="60"/>
      <c r="W23" s="60"/>
      <c r="X23" s="60"/>
    </row>
    <row r="24" spans="2:24" ht="21.75" customHeight="1" x14ac:dyDescent="0.35">
      <c r="B24" s="61" t="s">
        <v>20</v>
      </c>
      <c r="C24" s="61"/>
      <c r="D24" s="61"/>
      <c r="E24" s="61"/>
      <c r="F24" s="61"/>
      <c r="G24" s="61"/>
      <c r="H24" s="26">
        <f>J24+L24+N24</f>
        <v>0</v>
      </c>
      <c r="I24" s="25"/>
      <c r="J24" s="18"/>
      <c r="K24" s="25"/>
      <c r="L24" s="18"/>
      <c r="M24" s="32"/>
      <c r="N24" s="46"/>
      <c r="O24" s="25"/>
    </row>
    <row r="25" spans="2:24" ht="21.75" customHeight="1" x14ac:dyDescent="0.35">
      <c r="D25" s="7" t="s">
        <v>9</v>
      </c>
      <c r="H25" s="5">
        <f>SUM(H20:H24)</f>
        <v>0</v>
      </c>
      <c r="J25" s="5">
        <f>SUM(J20:J24)</f>
        <v>0</v>
      </c>
      <c r="L25" s="5">
        <f>SUM(L20:L23,L24)</f>
        <v>0</v>
      </c>
      <c r="N25" s="5">
        <f>SUM(N20:N23,N24)</f>
        <v>0</v>
      </c>
    </row>
    <row r="26" spans="2:24" ht="15" thickBot="1" x14ac:dyDescent="0.4"/>
    <row r="27" spans="2:24" ht="21.75" customHeight="1" thickTop="1" thickBot="1" x14ac:dyDescent="0.5">
      <c r="B27" s="14" t="s">
        <v>11</v>
      </c>
      <c r="C27" s="14"/>
      <c r="D27" s="13"/>
      <c r="E27" s="13"/>
      <c r="F27" s="13"/>
      <c r="G27" s="13"/>
      <c r="H27" s="23">
        <f>H17-H25</f>
        <v>964</v>
      </c>
      <c r="I27" s="24"/>
      <c r="J27" s="23">
        <f>J17-J25</f>
        <v>353</v>
      </c>
      <c r="K27" s="24"/>
      <c r="L27" s="23">
        <f>L17-L25</f>
        <v>258</v>
      </c>
      <c r="M27" s="23"/>
      <c r="N27" s="23">
        <f>N17-N25</f>
        <v>353</v>
      </c>
      <c r="O27" s="13"/>
    </row>
    <row r="28" spans="2:24" ht="15" thickTop="1" x14ac:dyDescent="0.35"/>
    <row r="29" spans="2:24" x14ac:dyDescent="0.35">
      <c r="B29" s="7" t="s">
        <v>12</v>
      </c>
      <c r="C29" s="7"/>
    </row>
    <row r="30" spans="2:24" ht="21.75" customHeight="1" x14ac:dyDescent="0.35">
      <c r="B30" s="40">
        <v>1</v>
      </c>
      <c r="C30" s="68" t="s">
        <v>53</v>
      </c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2:24" ht="18" customHeight="1" x14ac:dyDescent="0.35">
      <c r="B31" s="42">
        <v>2</v>
      </c>
      <c r="C31" t="s">
        <v>49</v>
      </c>
      <c r="H31"/>
      <c r="J31"/>
      <c r="L31"/>
      <c r="M31"/>
      <c r="N31"/>
    </row>
    <row r="32" spans="2:24" ht="31.5" customHeight="1" x14ac:dyDescent="0.35">
      <c r="B32" s="41">
        <v>3</v>
      </c>
      <c r="C32" s="68" t="s">
        <v>39</v>
      </c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</row>
    <row r="33" spans="2:15" ht="30" customHeight="1" x14ac:dyDescent="0.35">
      <c r="B33" s="41">
        <v>4</v>
      </c>
      <c r="C33" s="68" t="s">
        <v>29</v>
      </c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</row>
    <row r="34" spans="2:15" ht="29" customHeight="1" x14ac:dyDescent="0.35">
      <c r="B34" s="41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</row>
    <row r="35" spans="2:15" ht="21.75" customHeight="1" x14ac:dyDescent="0.35">
      <c r="B35" s="49" t="s">
        <v>33</v>
      </c>
    </row>
    <row r="37" spans="2:15" x14ac:dyDescent="0.35">
      <c r="B37" s="56" t="s">
        <v>13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</sheetData>
  <sheetProtection algorithmName="SHA-512" hashValue="Geq00r3A82T9pXtQdS2NGGZF2XkDwZiv4GvQ+N7uALoXDr4AKbF4cFCPGGDHLvZXzxAs1dr9eK8UACjc2gIjIg==" saltValue="JGfw9fvypz1bqbodW/c3+Q==" spinCount="100000" sheet="1" selectLockedCells="1"/>
  <mergeCells count="12">
    <mergeCell ref="P22:X23"/>
    <mergeCell ref="B37:O37"/>
    <mergeCell ref="H2:O2"/>
    <mergeCell ref="B4:O4"/>
    <mergeCell ref="D10:E10"/>
    <mergeCell ref="B23:F23"/>
    <mergeCell ref="B24:G24"/>
    <mergeCell ref="B15:E15"/>
    <mergeCell ref="B16:E16"/>
    <mergeCell ref="C33:O33"/>
    <mergeCell ref="C32:O32"/>
    <mergeCell ref="C30:O30"/>
  </mergeCells>
  <hyperlinks>
    <hyperlink ref="B15" r:id="rId1" display="Will you enroll in DU's health insurance plan?" xr:uid="{00000000-0004-0000-0200-000000000000}"/>
    <hyperlink ref="B16" r:id="rId2" display="Will you use DU Health &amp; Counseling Services? " xr:uid="{00000000-0004-0000-0200-000001000000}"/>
  </hyperlinks>
  <pageMargins left="0.5" right="0.5" top="0.5" bottom="0.5" header="0.3" footer="0.3"/>
  <pageSetup scale="73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Data!$I$2:$I$22</xm:f>
          </x14:formula1>
          <xm:sqref>N6 J6 L6</xm:sqref>
        </x14:dataValidation>
        <x14:dataValidation type="list" allowBlank="1" showInputMessage="1" showErrorMessage="1" xr:uid="{00000000-0002-0000-0200-000001000000}">
          <x14:formula1>
            <xm:f>Data!$A$25:$A$26</xm:f>
          </x14:formula1>
          <xm:sqref>F14:F15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X37"/>
  <sheetViews>
    <sheetView showGridLines="0" showRowColHeaders="0" showRuler="0" topLeftCell="A2" zoomScaleNormal="100" workbookViewId="0">
      <selection activeCell="J6" sqref="J6"/>
    </sheetView>
  </sheetViews>
  <sheetFormatPr defaultColWidth="8.90625" defaultRowHeight="14.5" x14ac:dyDescent="0.35"/>
  <cols>
    <col min="1" max="1" width="4.08984375" customWidth="1"/>
    <col min="2" max="2" width="2.08984375" customWidth="1"/>
    <col min="5" max="5" width="26.08984375" customWidth="1"/>
    <col min="6" max="6" width="11.453125" bestFit="1" customWidth="1"/>
    <col min="8" max="8" width="14.90625" style="5" customWidth="1"/>
    <col min="9" max="9" width="4.6328125" customWidth="1"/>
    <col min="10" max="10" width="13.453125" style="5" customWidth="1"/>
    <col min="11" max="11" width="4.6328125" customWidth="1"/>
    <col min="12" max="12" width="13.453125" style="5" customWidth="1"/>
    <col min="13" max="13" width="4.6328125" style="5" customWidth="1"/>
    <col min="14" max="14" width="13.453125" style="5" customWidth="1"/>
    <col min="15" max="15" width="3.453125" customWidth="1"/>
  </cols>
  <sheetData>
    <row r="1" spans="1:19" ht="17.25" customHeight="1" x14ac:dyDescent="0.35">
      <c r="A1" s="36"/>
    </row>
    <row r="2" spans="1:19" ht="47.25" customHeight="1" x14ac:dyDescent="0.35">
      <c r="F2" s="62" t="s">
        <v>52</v>
      </c>
      <c r="G2" s="62"/>
      <c r="H2" s="62"/>
      <c r="I2" s="62"/>
      <c r="J2" s="62"/>
      <c r="K2" s="62"/>
      <c r="L2" s="62"/>
      <c r="M2" s="62"/>
      <c r="N2" s="62"/>
      <c r="O2" s="62"/>
    </row>
    <row r="3" spans="1:19" ht="8.25" customHeight="1" x14ac:dyDescent="0.35">
      <c r="B3" s="19"/>
      <c r="C3" s="19"/>
      <c r="D3" s="19"/>
      <c r="E3" s="19"/>
      <c r="F3" s="19"/>
      <c r="G3" s="19"/>
      <c r="H3" s="20"/>
      <c r="I3" s="21"/>
      <c r="J3" s="21"/>
      <c r="K3" s="21"/>
      <c r="L3" s="21"/>
      <c r="M3" s="21"/>
      <c r="N3" s="21"/>
      <c r="O3" s="21"/>
    </row>
    <row r="4" spans="1:19" ht="27.75" customHeight="1" x14ac:dyDescent="0.35">
      <c r="B4" s="39"/>
      <c r="C4" s="43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9" ht="19.5" customHeight="1" x14ac:dyDescent="0.35">
      <c r="J5" s="38" t="s">
        <v>43</v>
      </c>
      <c r="L5" s="38" t="s">
        <v>44</v>
      </c>
      <c r="N5" s="38" t="s">
        <v>45</v>
      </c>
    </row>
    <row r="6" spans="1:19" ht="24" customHeight="1" x14ac:dyDescent="0.45">
      <c r="D6" s="6" t="s">
        <v>14</v>
      </c>
      <c r="E6" s="27"/>
      <c r="F6" s="27"/>
      <c r="G6" s="27"/>
      <c r="H6" s="27"/>
      <c r="I6" s="27"/>
      <c r="J6" s="53" t="s">
        <v>51</v>
      </c>
      <c r="L6" s="53" t="s">
        <v>51</v>
      </c>
      <c r="M6" s="22"/>
      <c r="N6" s="53" t="s">
        <v>51</v>
      </c>
      <c r="O6" s="27"/>
    </row>
    <row r="7" spans="1:19" ht="6" customHeight="1" x14ac:dyDescent="0.35"/>
    <row r="8" spans="1:19" ht="15" thickBot="1" x14ac:dyDescent="0.4">
      <c r="B8" s="1" t="s">
        <v>7</v>
      </c>
      <c r="C8" s="1"/>
      <c r="D8" s="2"/>
      <c r="E8" s="2"/>
      <c r="F8" s="2"/>
      <c r="G8" s="2"/>
      <c r="H8" s="4" t="s">
        <v>3</v>
      </c>
      <c r="I8" s="3"/>
      <c r="J8" s="4" t="s">
        <v>38</v>
      </c>
      <c r="K8" s="3"/>
      <c r="L8" s="4" t="s">
        <v>46</v>
      </c>
      <c r="M8" s="4"/>
      <c r="N8" s="4" t="s">
        <v>47</v>
      </c>
      <c r="O8" s="2"/>
      <c r="Q8" s="55" t="str">
        <f>IFERROR(_xlfn.NUMBERVALUE(TRIM(LEFT(J6,2))),"")</f>
        <v/>
      </c>
      <c r="R8" s="55" t="str">
        <f>IFERROR(_xlfn.NUMBERVALUE(TRIM(LEFT(L6,2))),"")</f>
        <v/>
      </c>
      <c r="S8" s="55" t="str">
        <f>IFERROR(_xlfn.NUMBERVALUE(TRIM(LEFT(N6,2))),"")</f>
        <v/>
      </c>
    </row>
    <row r="9" spans="1:19" ht="9" customHeight="1" x14ac:dyDescent="0.35"/>
    <row r="10" spans="1:19" ht="21.75" customHeight="1" x14ac:dyDescent="0.35">
      <c r="B10" s="9" t="s">
        <v>1</v>
      </c>
      <c r="C10" s="9"/>
      <c r="D10" s="63"/>
      <c r="E10" s="63"/>
      <c r="F10" s="10"/>
      <c r="G10" s="10"/>
      <c r="H10" s="11">
        <f>J10+L10+N10</f>
        <v>0</v>
      </c>
      <c r="I10" s="10"/>
      <c r="J10" s="11">
        <f>VLOOKUP(J6, Data!A2:F22, 6, FALSE)</f>
        <v>0</v>
      </c>
      <c r="K10" s="10"/>
      <c r="L10" s="11">
        <f>VLOOKUP(L6, Data!A2:F22, 6, FALSE)</f>
        <v>0</v>
      </c>
      <c r="M10" s="11"/>
      <c r="N10" s="11">
        <f>VLOOKUP(N6, Data!A2:F22, 6, FALSE)</f>
        <v>0</v>
      </c>
      <c r="O10" s="10"/>
    </row>
    <row r="11" spans="1:19" ht="21.75" customHeight="1" x14ac:dyDescent="0.35">
      <c r="B11" s="37" t="s">
        <v>0</v>
      </c>
      <c r="C11" s="37"/>
    </row>
    <row r="12" spans="1:19" ht="21.75" customHeight="1" x14ac:dyDescent="0.35">
      <c r="B12" s="12" t="s">
        <v>2</v>
      </c>
      <c r="C12" s="12"/>
      <c r="D12" s="10"/>
      <c r="E12" s="10"/>
      <c r="F12" s="10"/>
      <c r="G12" s="10"/>
      <c r="H12" s="11">
        <f>J12+L12+N12</f>
        <v>0</v>
      </c>
      <c r="I12" s="10"/>
      <c r="J12" s="11">
        <f>VLOOKUP(J6, Data!A2:E22, 3, FALSE)</f>
        <v>0</v>
      </c>
      <c r="K12" s="10"/>
      <c r="L12" s="11">
        <f>VLOOKUP(L6, Data!A2:E22, 3, FALSE)</f>
        <v>0</v>
      </c>
      <c r="M12" s="11"/>
      <c r="N12" s="11">
        <f>VLOOKUP(N6, Data!A2:E22, 3, FALSE)</f>
        <v>0</v>
      </c>
      <c r="O12" s="10"/>
    </row>
    <row r="13" spans="1:19" ht="21.75" customHeight="1" x14ac:dyDescent="0.35">
      <c r="B13" s="33" t="s">
        <v>16</v>
      </c>
      <c r="C13" s="33"/>
      <c r="H13" s="5">
        <f>J13+L13+N13</f>
        <v>0</v>
      </c>
      <c r="J13" s="5">
        <f>IF(J6&lt;&gt;"not enrolled",(VLOOKUP(J6,Data!A2:D22,4,FALSE)),0)</f>
        <v>0</v>
      </c>
      <c r="L13" s="5">
        <f>IF(L6&lt;&gt;"not enrolled",(VLOOKUP(L6,Data!A2:D22,4,FALSE)),0)</f>
        <v>0</v>
      </c>
      <c r="N13" s="5">
        <f>IF(N6&lt;&gt;"not enrolled",(VLOOKUP(N6,Data!A2:D22,4,FALSE)),0)</f>
        <v>0</v>
      </c>
    </row>
    <row r="14" spans="1:19" ht="21.75" customHeight="1" x14ac:dyDescent="0.35">
      <c r="B14" s="12" t="s">
        <v>24</v>
      </c>
      <c r="C14" s="44"/>
      <c r="D14" s="10"/>
      <c r="E14" s="10"/>
      <c r="F14" s="29" t="s">
        <v>5</v>
      </c>
      <c r="G14" s="10"/>
      <c r="H14" s="11">
        <f>J14+L14+N14</f>
        <v>0</v>
      </c>
      <c r="I14" s="10"/>
      <c r="J14" s="11">
        <f>VLOOKUP(F14,Data!M3:N4,2,FALSE)</f>
        <v>0</v>
      </c>
      <c r="K14" s="10"/>
      <c r="L14" s="11">
        <f>IF((L6&lt;&gt;"not enrolled"),VLOOKUP(F14,Data!M3:N4,2,FALSE),0)</f>
        <v>0</v>
      </c>
      <c r="M14" s="11"/>
      <c r="N14" s="11">
        <f>VLOOKUP(F14,Data!M3:N4,2,FALSE)</f>
        <v>0</v>
      </c>
      <c r="O14" s="10"/>
    </row>
    <row r="15" spans="1:19" ht="21.75" customHeight="1" x14ac:dyDescent="0.35">
      <c r="B15" s="64" t="s">
        <v>23</v>
      </c>
      <c r="C15" s="64"/>
      <c r="D15" s="64"/>
      <c r="E15" s="65"/>
      <c r="F15" s="29" t="s">
        <v>5</v>
      </c>
      <c r="H15" s="45">
        <f>J15+L15+N15</f>
        <v>0</v>
      </c>
      <c r="J15" s="45">
        <f>IF(AND(F15="Yes", J6&lt;&gt;"not enrolled"), (VLOOKUP(F15, Data!A25:C26, 2, FALSE)), 0)</f>
        <v>0</v>
      </c>
      <c r="L15" s="45">
        <v>0</v>
      </c>
      <c r="M15" s="45"/>
      <c r="N15" s="45">
        <f>IF(AND(F15="Yes", N6&lt;&gt;"not enrolled"), (VLOOKUP(F15, Data!A25:C26, 2, FALSE)), 0)</f>
        <v>0</v>
      </c>
    </row>
    <row r="16" spans="1:19" ht="21.75" customHeight="1" x14ac:dyDescent="0.35">
      <c r="B16" s="66" t="s">
        <v>31</v>
      </c>
      <c r="C16" s="66"/>
      <c r="D16" s="66"/>
      <c r="E16" s="66"/>
      <c r="F16" s="50"/>
      <c r="G16" s="25"/>
      <c r="H16" s="26">
        <f>J16+L16+N16</f>
        <v>774</v>
      </c>
      <c r="I16" s="25"/>
      <c r="J16" s="46">
        <f>IF(AND(J6&lt;&gt;"select", J6&lt;&gt;"not enrolled",J6&lt;&gt;"4 credits",J6&lt;&gt;"5 credits",J6&lt;&gt;"6 credits",J6&lt;&gt;"7 credits"), 258, 0)</f>
        <v>258</v>
      </c>
      <c r="K16" s="25"/>
      <c r="L16" s="46">
        <f>IF(AND(L6&lt;&gt;"select",L6&lt;&gt;"not enrolled",L6&lt;&gt;"4 credits",L6&lt;&gt;"5 credits",L6&lt;&gt;"6 credits",L6&lt;&gt;"7 credits"), 258, 0)</f>
        <v>258</v>
      </c>
      <c r="M16" s="26"/>
      <c r="N16" s="46">
        <f>IF(AND(N6&lt;&gt;"select",N6&lt;&gt;"not enrolled",N6&lt;&gt;"4 credits",N6&lt;&gt;"5 credits",N6&lt;&gt;"6 credits",N6&lt;&gt;"7 credits"), 258, 0)</f>
        <v>258</v>
      </c>
      <c r="O16" s="25"/>
    </row>
    <row r="17" spans="2:24" ht="21.75" customHeight="1" x14ac:dyDescent="0.35">
      <c r="D17" s="7" t="s">
        <v>6</v>
      </c>
      <c r="H17" s="8">
        <f>SUM(H10, H12:H16)</f>
        <v>774</v>
      </c>
      <c r="J17" s="8">
        <f>SUM(J10,J12:J16)</f>
        <v>258</v>
      </c>
      <c r="L17" s="8">
        <f>SUM(L10,L12:L16)</f>
        <v>258</v>
      </c>
      <c r="M17" s="8"/>
      <c r="N17" s="8">
        <f>SUM(N10,N12:N16)</f>
        <v>258</v>
      </c>
    </row>
    <row r="18" spans="2:24" ht="24" customHeight="1" x14ac:dyDescent="0.35"/>
    <row r="19" spans="2:24" ht="15" thickBot="1" x14ac:dyDescent="0.4">
      <c r="B19" s="1" t="s">
        <v>10</v>
      </c>
      <c r="C19" s="1"/>
      <c r="D19" s="2"/>
      <c r="E19" s="2"/>
      <c r="F19" s="2"/>
      <c r="G19" s="2"/>
      <c r="H19" s="4" t="s">
        <v>3</v>
      </c>
      <c r="I19" s="3"/>
      <c r="J19" s="4" t="s">
        <v>38</v>
      </c>
      <c r="K19" s="3"/>
      <c r="L19" s="4" t="s">
        <v>46</v>
      </c>
      <c r="M19" s="4"/>
      <c r="N19" s="4" t="s">
        <v>47</v>
      </c>
      <c r="O19" s="2"/>
      <c r="Q19" s="55">
        <f>IF($J$6="not enrolled",1,IF(Q8&lt;8,1,0))</f>
        <v>0</v>
      </c>
      <c r="R19" s="55">
        <f>IF($L$6="not enrolled",1,IF(R8&lt;8,1,0))</f>
        <v>0</v>
      </c>
      <c r="S19" s="55">
        <f>IF($N$6="not enrolled",1,IF(S8&lt;8,1,0))</f>
        <v>0</v>
      </c>
    </row>
    <row r="20" spans="2:24" ht="21.75" customHeight="1" x14ac:dyDescent="0.35">
      <c r="B20" t="s">
        <v>15</v>
      </c>
      <c r="H20" s="15"/>
      <c r="J20" s="5">
        <f>IF((AND(J6&lt;&gt;"not enrolled", L6&lt;&gt;"not enrolled", N6&lt;&gt;"not enrolled")), (H20/3), IF((AND(J6&lt;&gt;"not enrolled", L6&lt;&gt;"not enrolled", N6="not enrolled")), (H20/2), IF((AND(J6&lt;&gt;"not enrolled", L6="not enrolled", N6="not enrolled")), (H20/1), 0)))</f>
        <v>0</v>
      </c>
      <c r="L20" s="5">
        <f>IF((AND(J6&lt;&gt;"not enrolled", L6&lt;&gt;"not enrolled", N6&lt;&gt;"not enrolled")), (H20/3), IF((AND(J6&lt;&gt;"not enrolled", L6&lt;&gt;"not enrolled", N6="not enrolled")), (H20/2), IF((AND(J6="not enrolled", L6&lt;&gt;"not enrolled", N6&lt;&gt;"not enrolled")), (H20/2), 0)))</f>
        <v>0</v>
      </c>
      <c r="N20" s="5">
        <f>IF((AND(J6&lt;&gt;"not enrolled", L6&lt;&gt;"not enrolled", N6&lt;&gt;"not enrolled")), (H20/3), IF((AND(J6="not enrolled", L6&lt;&gt;"not enrolled", N6&lt;&gt;"not enrolled")), (H20/2), IF((AND(J6="not enrolled", L6="not enrolled", N6&lt;&gt;"not enrolled")), (H20), 0)))</f>
        <v>0</v>
      </c>
    </row>
    <row r="21" spans="2:24" ht="21.75" customHeight="1" x14ac:dyDescent="0.35">
      <c r="B21" s="10" t="s">
        <v>8</v>
      </c>
      <c r="C21" s="10"/>
      <c r="D21" s="10"/>
      <c r="E21" s="10"/>
      <c r="F21" s="10"/>
      <c r="G21" s="10"/>
      <c r="H21" s="16"/>
      <c r="I21" s="10"/>
      <c r="J21" s="11">
        <f>IF((AND(J6&lt;&gt;"not enrolled", L6&lt;&gt;"not enrolled", N6&lt;&gt;"not enrolled")), (H21/3), IF((AND(J6&lt;&gt;"not enrolled", L6&lt;&gt;"not enrolled", N6="not enrolled")), (H21/2), IF((AND(J6&lt;&gt;"not enrolled", L6="not enrolled", N6="not enrolled")), (H21/1), 0)))</f>
        <v>0</v>
      </c>
      <c r="K21" s="10"/>
      <c r="L21" s="11">
        <f>IF((AND(J6&lt;&gt;"not enrolled", L6&lt;&gt;"not enrolled", N6&lt;&gt;"not enrolled")), (H21/3), IF((AND(J6&lt;&gt;"not enrolled", L6&lt;&gt;"not enrolled", N6="not enrolled")), (H21/2), IF((AND(J6="not enrolled", L6&lt;&gt;"not enrolled", N6&lt;&gt;"not enrolled")), (H21/2), 0)))</f>
        <v>0</v>
      </c>
      <c r="M21" s="11"/>
      <c r="N21" s="11">
        <f>IF((AND(J6&lt;&gt;"not enrolled", L6&lt;&gt;"not enrolled", N6&lt;&gt;"not enrolled")), (H21/3), IF((AND(J6="not enrolled", L6&lt;&gt;"not enrolled", N6&lt;&gt;"not enrolled")), (H21/2), IF((AND(J6="not enrolled", L6="not enrolled", N6&lt;&gt;"not enrolled")), (H21), 0)))</f>
        <v>0</v>
      </c>
      <c r="O21" s="10"/>
    </row>
    <row r="22" spans="2:24" ht="21.75" customHeight="1" x14ac:dyDescent="0.35">
      <c r="B22" t="s">
        <v>32</v>
      </c>
      <c r="F22" s="17"/>
      <c r="H22" s="5">
        <f>SUM(J22,L22,N22)</f>
        <v>0</v>
      </c>
      <c r="J22" s="5">
        <f>IF((AND(J6&lt;&gt;"not enrolled", L6&lt;&gt;"not enrolled", N6&lt;&gt;"not enrolled")), ROUND(((F22-(F22*0.01057))/3),0), IF((AND(J6&lt;&gt;"not enrolled", L6&lt;&gt;"not enrolled", N6="not enrolled")), ROUND(((F22-(F22*0.01057))/2),0), IF((AND(J6&lt;&gt;"not enrolled", L6="not enrolled", N6="not enrolled")), ROUND(((F22-(F22*0.01057))/1),0), 0)))</f>
        <v>0</v>
      </c>
      <c r="L22" s="5">
        <f>IF((AND(J6&lt;&gt;"not enrolled", L6&lt;&gt;"not enrolled", N6&lt;&gt;"not enrolled")), ROUND(((F22-(F22*0.01057))/3),0), IF((AND(J6&lt;&gt;"not enrolled", L6&lt;&gt;"not enrolled", N6="not enrolled")), ROUND(((F22-(F22*0.01057))/2),0), IF((AND(J6="not enrolled", L6&lt;&gt;"not enrolled", N6&lt;&gt;"not enrolled")), ROUND(((F22-(F22*0.01057))/2),0), 0)))</f>
        <v>0</v>
      </c>
      <c r="N22" s="5">
        <f>IF((AND(J6&lt;&gt;"not enrolled", L6&lt;&gt;"not enrolled", N6&lt;&gt;"not enrolled")), ROUND(((F22-(F22*0.01057))/3),0), IF((AND(J6="not enrolled", L6&lt;&gt;"not enrolled", N6&lt;&gt;"not enrolled")), ROUND(((F22-(F22*0.01057))/2),0), IF((AND(J6="not enrolled", L6="not enrolled", N6&lt;&gt;"not enrolled")), ROUND(((F22-(F22*0.01057))/1),0), 0)))</f>
        <v>0</v>
      </c>
      <c r="P22" s="60" t="str">
        <f>IFERROR(IF(SUM($Q$19:$T$19)=0,"",Language!$A$1),"")</f>
        <v/>
      </c>
      <c r="Q22" s="60"/>
      <c r="R22" s="60"/>
      <c r="S22" s="60"/>
      <c r="T22" s="60"/>
      <c r="U22" s="60"/>
      <c r="V22" s="60"/>
      <c r="W22" s="60"/>
      <c r="X22" s="60"/>
    </row>
    <row r="23" spans="2:24" ht="21.75" customHeight="1" x14ac:dyDescent="0.35">
      <c r="B23" s="67" t="s">
        <v>19</v>
      </c>
      <c r="C23" s="67"/>
      <c r="D23" s="67"/>
      <c r="E23" s="67"/>
      <c r="F23" s="67"/>
      <c r="H23" s="16"/>
      <c r="J23" s="5">
        <f>IF((AND(J6&lt;&gt;"not enrolled", L6&lt;&gt;"not enrolled", N6&lt;&gt;"not enrolled")), (H23/3), IF((AND(J6&lt;&gt;"not enrolled", L6&lt;&gt;"not enrolled", N6="not enrolled")), (H23/2), IF((AND(J6&lt;&gt;"not enrolled", L6="not enrolled", N6="not enrolled")), (H23/1), 0)))</f>
        <v>0</v>
      </c>
      <c r="L23" s="5">
        <f>IF((AND(J6&lt;&gt;"not enrolled", L6&lt;&gt;"not enrolled", N6&lt;&gt;"not enrolled")), (H23/3), IF((AND(J6&lt;&gt;"not enrolled", L6&lt;&gt;"not enrolled", N6="not enrolled")), (H23/2), IF((AND(J6="not enrolled", L6&lt;&gt;"not enrolled", N6&lt;&gt;"not enrolled")), (H23/2), 0)))</f>
        <v>0</v>
      </c>
      <c r="N23" s="5">
        <f>IF((AND(J6&lt;&gt;"not enrolled", L6&lt;&gt;"not enrolled", N6&lt;&gt;"not enrolled")), (H23/3), IF((AND(J6="not enrolled", L6&lt;&gt;"not enrolled", N6&lt;&gt;"not enrolled")), (H23/2), IF((AND(J6="not enrolled", L6="not enrolled", N6&lt;&gt;"not enrolled")), (H23), 0)))</f>
        <v>0</v>
      </c>
      <c r="P23" s="60"/>
      <c r="Q23" s="60"/>
      <c r="R23" s="60"/>
      <c r="S23" s="60"/>
      <c r="T23" s="60"/>
      <c r="U23" s="60"/>
      <c r="V23" s="60"/>
      <c r="W23" s="60"/>
      <c r="X23" s="60"/>
    </row>
    <row r="24" spans="2:24" ht="21.75" customHeight="1" x14ac:dyDescent="0.35">
      <c r="B24" s="61" t="s">
        <v>20</v>
      </c>
      <c r="C24" s="61"/>
      <c r="D24" s="61"/>
      <c r="E24" s="61"/>
      <c r="F24" s="61"/>
      <c r="G24" s="61"/>
      <c r="H24" s="26">
        <f>J24+L24+N24</f>
        <v>0</v>
      </c>
      <c r="I24" s="25"/>
      <c r="J24" s="18"/>
      <c r="K24" s="25"/>
      <c r="L24" s="18"/>
      <c r="M24" s="32"/>
      <c r="N24" s="46"/>
      <c r="O24" s="25"/>
    </row>
    <row r="25" spans="2:24" ht="21.75" customHeight="1" x14ac:dyDescent="0.35">
      <c r="D25" s="7" t="s">
        <v>9</v>
      </c>
      <c r="H25" s="5">
        <f>SUM(H20:H24)</f>
        <v>0</v>
      </c>
      <c r="J25" s="5">
        <f>SUM(J20:J24)</f>
        <v>0</v>
      </c>
      <c r="L25" s="5">
        <f>SUM(L20:L23,L24)</f>
        <v>0</v>
      </c>
      <c r="N25" s="5">
        <f>SUM(N20:N23,N24)</f>
        <v>0</v>
      </c>
    </row>
    <row r="26" spans="2:24" ht="15" thickBot="1" x14ac:dyDescent="0.4"/>
    <row r="27" spans="2:24" ht="21.75" customHeight="1" thickTop="1" thickBot="1" x14ac:dyDescent="0.5">
      <c r="B27" s="14" t="s">
        <v>11</v>
      </c>
      <c r="C27" s="14"/>
      <c r="D27" s="13"/>
      <c r="E27" s="13"/>
      <c r="F27" s="13"/>
      <c r="G27" s="13"/>
      <c r="H27" s="23">
        <f>H17-H25</f>
        <v>774</v>
      </c>
      <c r="I27" s="24"/>
      <c r="J27" s="23">
        <f>J17-J25</f>
        <v>258</v>
      </c>
      <c r="K27" s="24"/>
      <c r="L27" s="23">
        <f>L17-L25</f>
        <v>258</v>
      </c>
      <c r="M27" s="23"/>
      <c r="N27" s="23">
        <f>N17-N25</f>
        <v>258</v>
      </c>
      <c r="O27" s="13"/>
    </row>
    <row r="28" spans="2:24" ht="15" thickTop="1" x14ac:dyDescent="0.35"/>
    <row r="29" spans="2:24" x14ac:dyDescent="0.35">
      <c r="B29" s="7" t="s">
        <v>12</v>
      </c>
      <c r="C29" s="7"/>
    </row>
    <row r="30" spans="2:24" ht="20" customHeight="1" x14ac:dyDescent="0.35">
      <c r="B30" s="40">
        <v>1</v>
      </c>
      <c r="C30" s="68" t="s">
        <v>54</v>
      </c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2:24" ht="15.65" customHeight="1" x14ac:dyDescent="0.35">
      <c r="B31" s="42">
        <v>2</v>
      </c>
      <c r="C31" t="s">
        <v>49</v>
      </c>
      <c r="H31"/>
      <c r="J31"/>
      <c r="L31"/>
      <c r="M31"/>
      <c r="N31"/>
    </row>
    <row r="32" spans="2:24" ht="30" customHeight="1" x14ac:dyDescent="0.35">
      <c r="B32" s="41">
        <v>3</v>
      </c>
      <c r="C32" s="68" t="s">
        <v>39</v>
      </c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</row>
    <row r="33" spans="2:15" ht="30" customHeight="1" x14ac:dyDescent="0.35">
      <c r="B33" s="41">
        <v>4</v>
      </c>
      <c r="C33" s="68" t="s">
        <v>29</v>
      </c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</row>
    <row r="34" spans="2:15" ht="21.75" customHeight="1" x14ac:dyDescent="0.35"/>
    <row r="35" spans="2:15" ht="21.75" customHeight="1" x14ac:dyDescent="0.35">
      <c r="B35" s="49" t="s">
        <v>33</v>
      </c>
    </row>
    <row r="37" spans="2:15" x14ac:dyDescent="0.35">
      <c r="B37" s="56" t="s">
        <v>13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</sheetData>
  <sheetProtection algorithmName="SHA-512" hashValue="0uYtaci3GsrT9f7qH7BOzmGsLewu78Wrja5j4Kf0+RqKKQ9V0NhTsM2WV3ousXKbTqa5D/ZJccExf3NvNXhGFA==" saltValue="Gwv/yxgaZIBtG+1AoN7g8Q==" spinCount="100000" sheet="1" selectLockedCells="1"/>
  <mergeCells count="11">
    <mergeCell ref="P22:X23"/>
    <mergeCell ref="F2:O2"/>
    <mergeCell ref="D10:E10"/>
    <mergeCell ref="B37:O37"/>
    <mergeCell ref="B15:E15"/>
    <mergeCell ref="B16:E16"/>
    <mergeCell ref="B23:F23"/>
    <mergeCell ref="B24:G24"/>
    <mergeCell ref="C33:O33"/>
    <mergeCell ref="C30:O30"/>
    <mergeCell ref="C32:O32"/>
  </mergeCells>
  <hyperlinks>
    <hyperlink ref="B15" r:id="rId1" display="Will you enroll in DU's health insurance plan?" xr:uid="{00000000-0004-0000-0100-000000000000}"/>
    <hyperlink ref="B16" r:id="rId2" display="Will you use DU Health &amp; Counseling Services? " xr:uid="{00000000-0004-0000-0100-000001000000}"/>
  </hyperlinks>
  <pageMargins left="0.5" right="0.5" top="0.5" bottom="0.5" header="0.3" footer="0.3"/>
  <pageSetup scale="73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Data!$A$25:$A$26</xm:f>
          </x14:formula1>
          <xm:sqref>F14:F15</xm:sqref>
        </x14:dataValidation>
        <x14:dataValidation type="list" allowBlank="1" showInputMessage="1" showErrorMessage="1" xr:uid="{00000000-0002-0000-0100-000002000000}">
          <x14:formula1>
            <xm:f>Data!$A$2:$A$22</xm:f>
          </x14:formula1>
          <xm:sqref>N6 J6 L6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ADF87-4ADF-4409-A285-F89F2591BB93}">
  <dimension ref="A1"/>
  <sheetViews>
    <sheetView workbookViewId="0">
      <selection activeCell="A2" sqref="A2"/>
    </sheetView>
  </sheetViews>
  <sheetFormatPr defaultRowHeight="14.5" x14ac:dyDescent="0.35"/>
  <sheetData>
    <row r="1" spans="1:1" x14ac:dyDescent="0.35">
      <c r="A1" s="75" t="s">
        <v>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U28"/>
  <sheetViews>
    <sheetView workbookViewId="0">
      <selection activeCell="C25" sqref="C25"/>
    </sheetView>
  </sheetViews>
  <sheetFormatPr defaultColWidth="8.90625" defaultRowHeight="14.5" x14ac:dyDescent="0.35"/>
  <cols>
    <col min="1" max="1" width="20.6328125" customWidth="1"/>
    <col min="2" max="5" width="8.08984375" customWidth="1"/>
    <col min="6" max="6" width="12" bestFit="1" customWidth="1"/>
    <col min="7" max="8" width="8.453125" customWidth="1"/>
    <col min="9" max="9" width="17.36328125" customWidth="1"/>
  </cols>
  <sheetData>
    <row r="1" spans="1:14" x14ac:dyDescent="0.35">
      <c r="A1" s="7" t="s">
        <v>35</v>
      </c>
      <c r="F1" s="7" t="s">
        <v>36</v>
      </c>
      <c r="I1" s="7" t="s">
        <v>30</v>
      </c>
      <c r="M1" s="7" t="s">
        <v>25</v>
      </c>
    </row>
    <row r="2" spans="1:14" x14ac:dyDescent="0.35">
      <c r="A2" t="s">
        <v>51</v>
      </c>
      <c r="F2" s="7"/>
      <c r="I2" t="s">
        <v>51</v>
      </c>
      <c r="M2" s="7"/>
    </row>
    <row r="3" spans="1:14" x14ac:dyDescent="0.35">
      <c r="A3" t="s">
        <v>21</v>
      </c>
      <c r="B3">
        <v>0</v>
      </c>
      <c r="C3">
        <v>0</v>
      </c>
      <c r="D3">
        <v>0</v>
      </c>
      <c r="E3">
        <v>0</v>
      </c>
      <c r="F3">
        <v>0</v>
      </c>
      <c r="I3" t="s">
        <v>21</v>
      </c>
      <c r="J3">
        <v>0</v>
      </c>
      <c r="K3">
        <v>0</v>
      </c>
      <c r="M3" t="s">
        <v>4</v>
      </c>
      <c r="N3">
        <v>95</v>
      </c>
    </row>
    <row r="4" spans="1:14" x14ac:dyDescent="0.35">
      <c r="A4" s="37">
        <v>4</v>
      </c>
      <c r="B4">
        <v>6448</v>
      </c>
      <c r="C4">
        <f>8*A4</f>
        <v>32</v>
      </c>
      <c r="D4">
        <v>57</v>
      </c>
      <c r="E4">
        <v>148</v>
      </c>
      <c r="F4">
        <v>6872</v>
      </c>
      <c r="I4" s="37">
        <v>4</v>
      </c>
      <c r="J4">
        <v>3436</v>
      </c>
      <c r="K4">
        <f>8*I4</f>
        <v>32</v>
      </c>
      <c r="M4" t="s">
        <v>5</v>
      </c>
      <c r="N4">
        <v>0</v>
      </c>
    </row>
    <row r="5" spans="1:14" x14ac:dyDescent="0.35">
      <c r="A5" s="37">
        <v>5</v>
      </c>
      <c r="B5">
        <v>8060</v>
      </c>
      <c r="C5">
        <f>8*A5</f>
        <v>40</v>
      </c>
      <c r="D5">
        <v>57</v>
      </c>
      <c r="E5">
        <v>148</v>
      </c>
      <c r="F5">
        <v>8590</v>
      </c>
      <c r="I5" s="37">
        <v>5</v>
      </c>
      <c r="J5">
        <v>4295</v>
      </c>
      <c r="K5">
        <f t="shared" ref="K5:K11" si="0">8*I5</f>
        <v>40</v>
      </c>
    </row>
    <row r="6" spans="1:14" x14ac:dyDescent="0.35">
      <c r="A6" s="37">
        <v>6</v>
      </c>
      <c r="B6">
        <v>9672</v>
      </c>
      <c r="C6">
        <f t="shared" ref="C6:C12" si="1">8*A6</f>
        <v>48</v>
      </c>
      <c r="D6">
        <v>57</v>
      </c>
      <c r="E6">
        <v>148</v>
      </c>
      <c r="F6">
        <v>10308</v>
      </c>
      <c r="I6" s="37">
        <v>6</v>
      </c>
      <c r="J6">
        <v>5154</v>
      </c>
      <c r="K6">
        <f t="shared" si="0"/>
        <v>48</v>
      </c>
    </row>
    <row r="7" spans="1:14" x14ac:dyDescent="0.35">
      <c r="A7" s="37">
        <v>7</v>
      </c>
      <c r="B7">
        <v>11284</v>
      </c>
      <c r="C7">
        <f t="shared" si="1"/>
        <v>56</v>
      </c>
      <c r="D7">
        <v>57</v>
      </c>
      <c r="E7">
        <v>148</v>
      </c>
      <c r="F7">
        <v>12026</v>
      </c>
      <c r="I7" s="37">
        <v>7</v>
      </c>
      <c r="J7">
        <v>6013</v>
      </c>
      <c r="K7">
        <f t="shared" si="0"/>
        <v>56</v>
      </c>
    </row>
    <row r="8" spans="1:14" x14ac:dyDescent="0.35">
      <c r="A8" s="37">
        <v>8</v>
      </c>
      <c r="B8">
        <v>12896</v>
      </c>
      <c r="C8">
        <f t="shared" si="1"/>
        <v>64</v>
      </c>
      <c r="D8">
        <v>57</v>
      </c>
      <c r="E8">
        <v>148</v>
      </c>
      <c r="F8">
        <v>13744</v>
      </c>
      <c r="I8" s="37">
        <v>8</v>
      </c>
      <c r="J8">
        <v>6872</v>
      </c>
      <c r="K8">
        <f t="shared" si="0"/>
        <v>64</v>
      </c>
    </row>
    <row r="9" spans="1:14" x14ac:dyDescent="0.35">
      <c r="A9" s="37">
        <v>9</v>
      </c>
      <c r="B9">
        <v>14508</v>
      </c>
      <c r="C9">
        <f t="shared" si="1"/>
        <v>72</v>
      </c>
      <c r="D9">
        <v>57</v>
      </c>
      <c r="E9">
        <v>148</v>
      </c>
      <c r="F9">
        <v>15462</v>
      </c>
      <c r="I9" s="37">
        <v>9</v>
      </c>
      <c r="J9">
        <v>7731</v>
      </c>
      <c r="K9">
        <f t="shared" si="0"/>
        <v>72</v>
      </c>
    </row>
    <row r="10" spans="1:14" x14ac:dyDescent="0.35">
      <c r="A10" s="37">
        <v>10</v>
      </c>
      <c r="B10">
        <v>16120</v>
      </c>
      <c r="C10">
        <f t="shared" si="1"/>
        <v>80</v>
      </c>
      <c r="D10">
        <v>57</v>
      </c>
      <c r="E10">
        <v>148</v>
      </c>
      <c r="F10">
        <v>17180</v>
      </c>
      <c r="I10" s="37">
        <v>10</v>
      </c>
      <c r="J10">
        <v>8590</v>
      </c>
      <c r="K10">
        <f t="shared" si="0"/>
        <v>80</v>
      </c>
    </row>
    <row r="11" spans="1:14" x14ac:dyDescent="0.35">
      <c r="A11" s="37">
        <v>11</v>
      </c>
      <c r="B11">
        <v>17732</v>
      </c>
      <c r="C11">
        <f t="shared" si="1"/>
        <v>88</v>
      </c>
      <c r="D11">
        <v>57</v>
      </c>
      <c r="E11">
        <v>148</v>
      </c>
      <c r="F11">
        <v>18898</v>
      </c>
      <c r="I11" s="37">
        <v>11</v>
      </c>
      <c r="J11">
        <v>9449</v>
      </c>
      <c r="K11">
        <f t="shared" si="0"/>
        <v>88</v>
      </c>
    </row>
    <row r="12" spans="1:14" x14ac:dyDescent="0.35">
      <c r="A12" s="37">
        <v>12</v>
      </c>
      <c r="B12">
        <v>19344</v>
      </c>
      <c r="C12">
        <f t="shared" si="1"/>
        <v>96</v>
      </c>
      <c r="D12">
        <v>57</v>
      </c>
      <c r="E12">
        <v>148</v>
      </c>
      <c r="F12">
        <v>20616</v>
      </c>
      <c r="I12" s="37">
        <v>12</v>
      </c>
      <c r="J12">
        <v>10308</v>
      </c>
      <c r="K12">
        <f>8*I12</f>
        <v>96</v>
      </c>
    </row>
    <row r="13" spans="1:14" x14ac:dyDescent="0.35">
      <c r="A13" s="37">
        <v>13</v>
      </c>
      <c r="B13">
        <v>19344</v>
      </c>
      <c r="C13">
        <f>8*A12</f>
        <v>96</v>
      </c>
      <c r="D13">
        <v>57</v>
      </c>
      <c r="E13">
        <v>148</v>
      </c>
      <c r="F13">
        <v>22334</v>
      </c>
      <c r="I13" s="37">
        <v>13</v>
      </c>
      <c r="J13">
        <v>11167</v>
      </c>
      <c r="K13">
        <f>8*I12</f>
        <v>96</v>
      </c>
    </row>
    <row r="14" spans="1:14" x14ac:dyDescent="0.35">
      <c r="A14" s="37">
        <v>14</v>
      </c>
      <c r="B14">
        <v>19344</v>
      </c>
      <c r="C14">
        <v>96</v>
      </c>
      <c r="D14">
        <v>57</v>
      </c>
      <c r="E14">
        <v>148</v>
      </c>
      <c r="F14">
        <v>24052</v>
      </c>
      <c r="I14" s="37">
        <v>14</v>
      </c>
      <c r="J14">
        <v>12026</v>
      </c>
      <c r="K14">
        <v>96</v>
      </c>
    </row>
    <row r="15" spans="1:14" x14ac:dyDescent="0.35">
      <c r="A15" s="37">
        <v>15</v>
      </c>
      <c r="B15">
        <v>19344</v>
      </c>
      <c r="C15">
        <v>96</v>
      </c>
      <c r="D15">
        <v>57</v>
      </c>
      <c r="E15">
        <v>148</v>
      </c>
      <c r="F15">
        <v>25770</v>
      </c>
      <c r="I15" s="37">
        <v>15</v>
      </c>
      <c r="J15">
        <v>12885</v>
      </c>
      <c r="K15">
        <v>96</v>
      </c>
    </row>
    <row r="16" spans="1:14" x14ac:dyDescent="0.35">
      <c r="A16" s="37">
        <v>16</v>
      </c>
      <c r="B16">
        <v>19344</v>
      </c>
      <c r="C16">
        <v>96</v>
      </c>
      <c r="D16">
        <v>57</v>
      </c>
      <c r="E16">
        <v>148</v>
      </c>
      <c r="F16">
        <v>27488</v>
      </c>
      <c r="I16" s="37">
        <v>16</v>
      </c>
      <c r="J16">
        <v>13744</v>
      </c>
      <c r="K16">
        <v>96</v>
      </c>
    </row>
    <row r="17" spans="1:21" x14ac:dyDescent="0.35">
      <c r="A17" s="37">
        <v>17</v>
      </c>
      <c r="B17">
        <v>19344</v>
      </c>
      <c r="C17">
        <v>96</v>
      </c>
      <c r="D17">
        <v>57</v>
      </c>
      <c r="E17">
        <v>148</v>
      </c>
      <c r="F17">
        <v>29206</v>
      </c>
      <c r="I17" s="37">
        <v>17</v>
      </c>
      <c r="J17">
        <v>14603</v>
      </c>
      <c r="K17">
        <v>96</v>
      </c>
    </row>
    <row r="18" spans="1:21" x14ac:dyDescent="0.35">
      <c r="A18" s="37">
        <v>18</v>
      </c>
      <c r="B18">
        <v>19344</v>
      </c>
      <c r="C18">
        <v>96</v>
      </c>
      <c r="D18">
        <v>57</v>
      </c>
      <c r="E18">
        <v>148</v>
      </c>
      <c r="F18">
        <v>30924</v>
      </c>
      <c r="I18" s="37">
        <v>18</v>
      </c>
      <c r="J18">
        <v>15462</v>
      </c>
      <c r="K18">
        <v>96</v>
      </c>
    </row>
    <row r="19" spans="1:21" x14ac:dyDescent="0.35">
      <c r="A19" s="37">
        <v>19</v>
      </c>
      <c r="B19">
        <v>20956</v>
      </c>
      <c r="C19">
        <v>96</v>
      </c>
      <c r="D19">
        <v>57</v>
      </c>
      <c r="E19">
        <v>148</v>
      </c>
      <c r="F19">
        <v>32642</v>
      </c>
      <c r="I19" s="37">
        <v>19</v>
      </c>
      <c r="J19">
        <v>16321</v>
      </c>
      <c r="K19">
        <v>96</v>
      </c>
    </row>
    <row r="20" spans="1:21" x14ac:dyDescent="0.35">
      <c r="A20" s="37">
        <v>20</v>
      </c>
      <c r="B20">
        <v>22568</v>
      </c>
      <c r="C20">
        <v>96</v>
      </c>
      <c r="D20">
        <v>57</v>
      </c>
      <c r="E20">
        <v>148</v>
      </c>
      <c r="F20">
        <v>34360</v>
      </c>
      <c r="I20" s="37">
        <v>20</v>
      </c>
      <c r="J20">
        <v>17180</v>
      </c>
      <c r="K20">
        <v>96</v>
      </c>
    </row>
    <row r="21" spans="1:21" x14ac:dyDescent="0.35">
      <c r="A21" s="37">
        <v>21</v>
      </c>
      <c r="B21">
        <v>24180</v>
      </c>
      <c r="C21">
        <v>96</v>
      </c>
      <c r="D21">
        <v>57</v>
      </c>
      <c r="E21">
        <v>148</v>
      </c>
      <c r="F21">
        <v>36078</v>
      </c>
      <c r="I21" s="37">
        <v>21</v>
      </c>
      <c r="J21">
        <v>18039</v>
      </c>
      <c r="K21">
        <v>96</v>
      </c>
    </row>
    <row r="22" spans="1:21" x14ac:dyDescent="0.35">
      <c r="A22" s="37">
        <v>22</v>
      </c>
      <c r="B22">
        <v>25792</v>
      </c>
      <c r="C22">
        <v>96</v>
      </c>
      <c r="D22">
        <v>57</v>
      </c>
      <c r="E22">
        <v>148</v>
      </c>
      <c r="F22">
        <v>37796</v>
      </c>
      <c r="I22" s="37">
        <v>22</v>
      </c>
      <c r="J22">
        <v>18898</v>
      </c>
      <c r="K22">
        <v>96</v>
      </c>
    </row>
    <row r="24" spans="1:21" x14ac:dyDescent="0.35">
      <c r="A24" t="s">
        <v>18</v>
      </c>
    </row>
    <row r="25" spans="1:21" x14ac:dyDescent="0.35">
      <c r="A25" t="s">
        <v>4</v>
      </c>
      <c r="B25">
        <v>2200</v>
      </c>
    </row>
    <row r="26" spans="1:21" x14ac:dyDescent="0.35">
      <c r="A26" t="s">
        <v>5</v>
      </c>
      <c r="B26">
        <v>0</v>
      </c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</row>
    <row r="27" spans="1:21" x14ac:dyDescent="0.35"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</row>
    <row r="28" spans="1:21" x14ac:dyDescent="0.35"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</row>
  </sheetData>
  <sheetProtection algorithmName="SHA-512" hashValue="aTj2GNYdjsG23TdoTx5dUkKuqK8+8wNaR3Oqkfcc80mgHUe7Ae0HAfgv0BcLcfNmF6Dk3bxgQtvMRxy6B74Tuw==" saltValue="3D8WXEd+xXXsj9DP6MoSUA==" spinCount="100000" sheet="1" selectLockedCells="1" selectUnlockedCells="1"/>
  <mergeCells count="3">
    <mergeCell ref="I26:U26"/>
    <mergeCell ref="I27:U27"/>
    <mergeCell ref="I28:U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Worksheets Home</vt:lpstr>
      <vt:lpstr>Music Master's</vt:lpstr>
      <vt:lpstr>Music Cert</vt:lpstr>
      <vt:lpstr>All Other Programs</vt:lpstr>
      <vt:lpstr>Language</vt:lpstr>
      <vt:lpstr>Data</vt:lpstr>
      <vt:lpstr>Credits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Westendorf</dc:creator>
  <cp:lastModifiedBy>Jaz Howard</cp:lastModifiedBy>
  <cp:lastPrinted>2026-01-13T18:55:41Z</cp:lastPrinted>
  <dcterms:created xsi:type="dcterms:W3CDTF">2018-06-06T22:54:45Z</dcterms:created>
  <dcterms:modified xsi:type="dcterms:W3CDTF">2026-06-03T21:44:33Z</dcterms:modified>
</cp:coreProperties>
</file>