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00D538B1-7CC5-4FB0-B814-E3AA66E5C17F}" xr6:coauthVersionLast="47" xr6:coauthVersionMax="47" xr10:uidLastSave="{00000000-0000-0000-0000-000000000000}"/>
  <workbookProtection workbookAlgorithmName="SHA-512" workbookHashValue="eQpEYgFOd4iaOwKRKnWvQLC4SbaO9WeY3p/NmgvSOBMbuMykLFpUa/qkUUc+lX/6gPZ/pe3YUK6+nlcoxOoA6A==" workbookSaltValue="TOK4H8X66WXyvhEU66HvEw==" workbookSpinCount="100000" lockStructure="1"/>
  <bookViews>
    <workbookView xWindow="28680" yWindow="-120" windowWidth="29040" windowHeight="15720" tabRatio="721" xr2:uid="{00000000-000D-0000-FFFF-FFFF00000000}"/>
  </bookViews>
  <sheets>
    <sheet name="Worksheets Home" sheetId="4" r:id="rId1"/>
    <sheet name="Master's" sheetId="1" r:id="rId2"/>
    <sheet name="Doctoral" sheetId="25" r:id="rId3"/>
    <sheet name="Language" sheetId="26" state="hidden" r:id="rId4"/>
    <sheet name="Data" sheetId="2" state="hidden" r:id="rId5"/>
  </sheets>
  <definedNames>
    <definedName name="Credits">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7" i="25" l="1"/>
  <c r="Q17" i="25" s="1"/>
  <c r="S7" i="25"/>
  <c r="S17" i="25" s="1"/>
  <c r="R7" i="25"/>
  <c r="R17" i="25" s="1"/>
  <c r="S7" i="1"/>
  <c r="S17" i="1" s="1"/>
  <c r="R7" i="1"/>
  <c r="R17" i="1" s="1"/>
  <c r="Q7" i="1"/>
  <c r="Q17" i="1" s="1"/>
  <c r="N9" i="1"/>
  <c r="L9" i="1"/>
  <c r="J9" i="1"/>
  <c r="P20" i="1" l="1"/>
  <c r="P20" i="25"/>
  <c r="E6" i="2"/>
  <c r="E7" i="2" s="1"/>
  <c r="E8" i="2" s="1"/>
  <c r="E9" i="2" s="1"/>
  <c r="E10" i="2" s="1"/>
  <c r="E11" i="2" s="1"/>
  <c r="E12" i="2" s="1"/>
  <c r="E13" i="2" s="1"/>
  <c r="E14" i="2" s="1"/>
  <c r="E15" i="2" s="1"/>
  <c r="E16" i="2" s="1"/>
  <c r="E17" i="2" s="1"/>
  <c r="E18" i="2" s="1"/>
  <c r="E19" i="2" s="1"/>
  <c r="E20" i="2" s="1"/>
  <c r="E21" i="2" s="1"/>
  <c r="E22" i="2" s="1"/>
  <c r="E5" i="2"/>
  <c r="E4" i="2"/>
  <c r="B6" i="2"/>
  <c r="B7" i="2" s="1"/>
  <c r="B8" i="2" s="1"/>
  <c r="B9" i="2" s="1"/>
  <c r="B10" i="2" s="1"/>
  <c r="B11" i="2" s="1"/>
  <c r="B12" i="2" s="1"/>
  <c r="B13" i="2" s="1"/>
  <c r="B14" i="2" s="1"/>
  <c r="B15" i="2" s="1"/>
  <c r="B16" i="2" s="1"/>
  <c r="B17" i="2" s="1"/>
  <c r="B18" i="2" s="1"/>
  <c r="B19" i="2" s="1"/>
  <c r="B20" i="2" s="1"/>
  <c r="B21" i="2" s="1"/>
  <c r="B22" i="2" s="1"/>
  <c r="B5" i="2"/>
  <c r="B4" i="2"/>
  <c r="N14" i="1"/>
  <c r="L14" i="1"/>
  <c r="J14" i="1"/>
  <c r="N14" i="25"/>
  <c r="L14" i="25"/>
  <c r="J14" i="25"/>
  <c r="C4" i="2"/>
  <c r="C5" i="2" s="1"/>
  <c r="C6" i="2" s="1"/>
  <c r="C7" i="2" s="1"/>
  <c r="C8" i="2" s="1"/>
  <c r="C9" i="2" s="1"/>
  <c r="C10" i="2" s="1"/>
  <c r="C11" i="2" s="1"/>
  <c r="C12" i="2" s="1"/>
  <c r="C13" i="2" s="1"/>
  <c r="C14" i="2" s="1"/>
  <c r="C15" i="2" s="1"/>
  <c r="C16" i="2" s="1"/>
  <c r="C17" i="2" s="1"/>
  <c r="C18" i="2" s="1"/>
  <c r="C19" i="2" s="1"/>
  <c r="C20" i="2" s="1"/>
  <c r="C21" i="2" s="1"/>
  <c r="C22" i="2" s="1"/>
  <c r="I4" i="2"/>
  <c r="I5" i="2" s="1"/>
  <c r="I6" i="2" s="1"/>
  <c r="I7" i="2" s="1"/>
  <c r="I8" i="2" s="1"/>
  <c r="I9" i="2" s="1"/>
  <c r="I10" i="2" s="1"/>
  <c r="I11" i="2" s="1"/>
  <c r="I12" i="2" s="1"/>
  <c r="I13" i="2" s="1"/>
  <c r="I14" i="2" s="1"/>
  <c r="I15" i="2" s="1"/>
  <c r="I16" i="2" s="1"/>
  <c r="I17" i="2" s="1"/>
  <c r="I18" i="2" s="1"/>
  <c r="I19" i="2" s="1"/>
  <c r="I20" i="2" s="1"/>
  <c r="I21" i="2" s="1"/>
  <c r="I22" i="2" s="1"/>
  <c r="N12" i="25" l="1"/>
  <c r="L12" i="25"/>
  <c r="J12" i="25"/>
  <c r="N12" i="1"/>
  <c r="L12" i="1"/>
  <c r="J12" i="1"/>
  <c r="N11" i="25"/>
  <c r="L11" i="25"/>
  <c r="J11" i="25"/>
  <c r="N9" i="25"/>
  <c r="L9" i="25"/>
  <c r="J9" i="25"/>
  <c r="H23" i="25"/>
  <c r="N22" i="25"/>
  <c r="L22" i="25"/>
  <c r="J22" i="25"/>
  <c r="N21" i="25"/>
  <c r="L21" i="25"/>
  <c r="J21" i="25"/>
  <c r="N20" i="25"/>
  <c r="L20" i="25"/>
  <c r="J20" i="25"/>
  <c r="N19" i="25"/>
  <c r="L19" i="25"/>
  <c r="J19" i="25"/>
  <c r="N18" i="25"/>
  <c r="L18" i="25"/>
  <c r="J18" i="25"/>
  <c r="N13" i="25"/>
  <c r="J13" i="25"/>
  <c r="N13" i="1"/>
  <c r="J13" i="1"/>
  <c r="N11" i="1"/>
  <c r="L11" i="1"/>
  <c r="J11" i="1"/>
  <c r="H13" i="25" l="1"/>
  <c r="H12" i="25"/>
  <c r="L24" i="25"/>
  <c r="J24" i="25"/>
  <c r="H14" i="25"/>
  <c r="H20" i="25"/>
  <c r="H21" i="25"/>
  <c r="N24" i="25"/>
  <c r="N15" i="25"/>
  <c r="H11" i="25"/>
  <c r="L15" i="25"/>
  <c r="J15" i="25"/>
  <c r="H9" i="25"/>
  <c r="N26" i="25" l="1"/>
  <c r="J26" i="25"/>
  <c r="L26" i="25"/>
  <c r="H24" i="25"/>
  <c r="H15" i="25"/>
  <c r="H26" i="25" l="1"/>
  <c r="N21" i="1"/>
  <c r="L21" i="1"/>
  <c r="J21" i="1"/>
  <c r="N20" i="1"/>
  <c r="L20" i="1"/>
  <c r="J20" i="1"/>
  <c r="H23" i="1" l="1"/>
  <c r="N22" i="1"/>
  <c r="L22" i="1"/>
  <c r="J22" i="1"/>
  <c r="N19" i="1"/>
  <c r="L19" i="1"/>
  <c r="J19" i="1"/>
  <c r="N18" i="1"/>
  <c r="L18" i="1"/>
  <c r="J18" i="1"/>
  <c r="H11" i="1"/>
  <c r="H21" i="1" l="1"/>
  <c r="N24" i="1"/>
  <c r="H20" i="1"/>
  <c r="J24" i="1"/>
  <c r="L24" i="1"/>
  <c r="J15" i="1"/>
  <c r="L15" i="1"/>
  <c r="H13" i="1"/>
  <c r="H14" i="1"/>
  <c r="H12" i="1"/>
  <c r="N15" i="1"/>
  <c r="H9" i="1"/>
  <c r="H24" i="1" l="1"/>
  <c r="N26" i="1"/>
  <c r="L26" i="1"/>
  <c r="J26" i="1"/>
  <c r="H15" i="1"/>
  <c r="H26" i="1" l="1"/>
</calcChain>
</file>

<file path=xl/sharedStrings.xml><?xml version="1.0" encoding="utf-8"?>
<sst xmlns="http://schemas.openxmlformats.org/spreadsheetml/2006/main" count="140" uniqueCount="73">
  <si>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</si>
  <si>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</si>
  <si>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</si>
  <si>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</si>
  <si>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</si>
  <si>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</si>
  <si>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</si>
  <si>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</si>
  <si>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</si>
  <si>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</si>
  <si>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</si>
  <si>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</si>
  <si>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</si>
  <si>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</si>
  <si>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</si>
  <si>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</si>
  <si>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</si>
  <si>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</si>
  <si>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</si>
  <si>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</si>
  <si>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</si>
  <si>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</si>
  <si>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</si>
  <si>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</si>
  <si>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</si>
  <si>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</si>
  <si>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</si>
  <si>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</si>
  <si>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</si>
  <si>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</si>
  <si>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</si>
  <si>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</si>
  <si>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</si>
  <si>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</si>
  <si>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</si>
  <si>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</si>
  <si>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</si>
  <si>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</si>
  <si>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21 credits</t>
  </si>
  <si>
    <t>22 credits</t>
  </si>
  <si>
    <t>Will you enroll in DU's Health Insurance Plan?</t>
  </si>
  <si>
    <t>Choose Your Program:</t>
  </si>
  <si>
    <t>Doctoral Programs</t>
  </si>
  <si>
    <t>PhD</t>
  </si>
  <si>
    <t>Masters</t>
  </si>
  <si>
    <t>select</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</si>
  <si>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</si>
  <si>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</si>
  <si>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</si>
  <si>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This worksheet automatically deducts the 1.057% origination fee from the Direct Unsubsidized loan amount. Most students who submit the FAFSA are eligible to borrow up to $20,500 in an unsubsidized loan per academic year</t>
  </si>
  <si>
    <t>Master's Programs</t>
  </si>
  <si>
    <r>
      <t xml:space="preserve">2026-27 Estimated Billing Worksheets
</t>
    </r>
    <r>
      <rPr>
        <b/>
        <i/>
        <sz val="16"/>
        <color theme="1"/>
        <rFont val="Calibri"/>
        <family val="2"/>
        <scheme val="minor"/>
      </rPr>
      <t>Josef Korbel School of Global and Public Affairs</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</si>
  <si>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2026-2027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</si>
  <si>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2026-27 Estimated Billing Worksheet
Doctoral Programs</t>
  </si>
  <si>
    <t>FALL 2026:</t>
  </si>
  <si>
    <t>WINTER 2027:</t>
  </si>
  <si>
    <t>SPRING 2027:</t>
  </si>
  <si>
    <t>FALL 2026</t>
  </si>
  <si>
    <t>WINTER 2027</t>
  </si>
  <si>
    <t>SPRING 2027</t>
  </si>
  <si>
    <t>Tuition for the 2026-27 academic year is $1,718 per credit</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</si>
  <si>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the fall  2024 or later and are enrolled
in 8 or more credits. Students who started prior to fall 2024 can waive this fee (just delete the amount in these fields if you plan to waive it).</t>
    </r>
  </si>
  <si>
    <t>Technology fees are $8 per credit. If you will be enrolled in less than 4 credits, you will not be eligible for federal student loans.</t>
  </si>
  <si>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</si>
  <si>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MA and Master of Public Policy Programs</t>
  </si>
  <si>
    <t>Fall 2026 or later</t>
  </si>
  <si>
    <t>Fall 2025</t>
  </si>
  <si>
    <t>Fall 2024</t>
  </si>
  <si>
    <t>What is the starting date of your cohort?</t>
  </si>
  <si>
    <t>Please choose a starting term for your cohort above.</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</si>
  <si>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the fall 2024 or later and are enrolled
in 8 or more credits. Students who started prior to fall 2024 can waive this fee (just delete the amount in these fields if you plan to waive it).</t>
    </r>
  </si>
  <si>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</si>
  <si>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If you plan to be enrolled less than full time in any term, your maximun loan eligibility for your Unsubsidized and/or Graduate PLUS will be adjusted so that it's proportional with your enrollment each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</si>
</sst>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u/>
      <vertAlign val="superscript"/>
      <sz val="11"/>
      <color theme="10"/>
      <name val="Calibri"/>
      <family val="2"/>
      <scheme val="minor"/>
    </font>
    <font>
      <i/>
      <sz val="11"/>
      <color theme="1"/>
      <name val="Calibri"/>
      <family val="2"/>
      <scheme val="minor"/>
    </font>
    <font>
      <sz val="11"/>
      <color theme="1"/>
      <name val="Calibri"/>
      <family val="2"/>
    </font>
    <font>
      <b/>
      <i/>
      <sz val="13.5"/>
      <color rgb="FF98002E"/>
      <name val="Calibri"/>
      <family val="2"/>
    </font>
    <font>
      <b/>
      <i/>
      <sz val="14"/>
      <color rgb="FF98002E"/>
      <name val="Calibri"/>
      <family val="2"/>
    </font>
    <font>
      <sz val="11"/>
      <color rgb="FFFF0000"/>
      <name val="Calibri"/>
      <family val="2"/>
      <scheme val="minor"/>
    </font>
    <font>
      <sz val="11"/>
      <color theme="0"/>
      <name val="Calibri"/>
      <family val="2"/>
      <scheme val="minor"/>
    </font>
    <font>
      <sz val="11"/>
      <color rgb="FF000000"/>
      <name val="Aptos"/>
      <family val="2"/>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3">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style="dashed">
        <color indexed="64"/>
      </top>
      <bottom style="thin">
        <color indexed="64"/>
      </bottom>
      <diagonal/>
    </border>
    <border>
      <left style="dotted">
        <color auto="1"/>
      </left>
      <right/>
      <top style="dotted">
        <color auto="1"/>
      </top>
      <bottom/>
      <diagonal/>
    </border>
    <border>
      <left/>
      <right style="dotted">
        <color auto="1"/>
      </right>
      <top style="dotted">
        <color auto="1"/>
      </top>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69">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0" fontId="0" fillId="0" borderId="3" xfId="0" applyBorder="1"/>
    <xf numFmtId="44" fontId="0" fillId="0" borderId="3" xfId="1" applyFont="1" applyFill="1" applyBorder="1"/>
    <xf numFmtId="44" fontId="0" fillId="3" borderId="3" xfId="1" applyFont="1" applyFill="1" applyBorder="1" applyProtection="1">
      <protection locked="0"/>
    </xf>
    <xf numFmtId="0" fontId="0" fillId="0" borderId="0" xfId="0" applyAlignment="1">
      <alignment horizontal="left" indent="2"/>
    </xf>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0" fillId="0" borderId="0" xfId="0" applyAlignment="1">
      <alignment horizontal="left"/>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0" fillId="0" borderId="0" xfId="0" applyAlignment="1">
      <alignment wrapText="1"/>
    </xf>
    <xf numFmtId="0" fontId="5" fillId="0" borderId="0" xfId="0" applyFont="1"/>
    <xf numFmtId="0" fontId="5" fillId="0" borderId="0" xfId="0" applyFont="1" applyAlignment="1">
      <alignment horizontal="right" vertical="top"/>
    </xf>
    <xf numFmtId="0" fontId="5" fillId="0" borderId="0" xfId="0" applyFont="1" applyAlignment="1">
      <alignment horizontal="right"/>
    </xf>
    <xf numFmtId="44" fontId="0" fillId="2" borderId="9" xfId="1" applyFont="1" applyFill="1" applyBorder="1" applyProtection="1">
      <protection locked="0"/>
    </xf>
    <xf numFmtId="0" fontId="13" fillId="0" borderId="0" xfId="2" applyAlignment="1" applyProtection="1">
      <alignment horizontal="left" indent="5"/>
    </xf>
    <xf numFmtId="44" fontId="0" fillId="4" borderId="9" xfId="1" applyFont="1" applyFill="1" applyBorder="1" applyProtection="1">
      <protection locked="0"/>
    </xf>
    <xf numFmtId="0" fontId="0" fillId="0" borderId="10" xfId="0" applyBorder="1"/>
    <xf numFmtId="0" fontId="18" fillId="0" borderId="0" xfId="0" applyFont="1" applyAlignment="1">
      <alignment horizontal="left"/>
    </xf>
    <xf numFmtId="0" fontId="19" fillId="0" borderId="0" xfId="0" applyFont="1" applyAlignment="1">
      <alignment horizontal="left"/>
    </xf>
    <xf numFmtId="0" fontId="21" fillId="0" borderId="0" xfId="0" applyFont="1" applyAlignment="1">
      <alignment horizontal="center"/>
    </xf>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20" fillId="0" borderId="0" xfId="0" applyFont="1" applyAlignment="1">
      <alignment horizontal="left" vertical="center" wrapTex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17" fillId="0" borderId="0" xfId="0" applyFont="1" applyAlignment="1" applyProtection="1">
      <alignment horizontal="center"/>
      <protection locked="0"/>
    </xf>
    <xf numFmtId="0" fontId="17" fillId="4" borderId="11" xfId="0" applyFont="1" applyFill="1" applyBorder="1" applyAlignment="1" applyProtection="1">
      <alignment horizontal="center"/>
      <protection locked="0"/>
    </xf>
    <xf numFmtId="0" fontId="17" fillId="4" borderId="12" xfId="0" applyFont="1" applyFill="1" applyBorder="1" applyAlignment="1" applyProtection="1">
      <alignment horizontal="center"/>
      <protection locked="0"/>
    </xf>
    <xf numFmtId="0" fontId="0" fillId="0" borderId="0" xfId="0" applyAlignment="1">
      <alignment horizontal="left"/>
    </xf>
    <xf numFmtId="0" fontId="0" fillId="0" borderId="0" xfId="0" applyAlignment="1">
      <alignment horizontal="left" wrapText="1"/>
    </xf>
    <xf numFmtId="0" fontId="0" fillId="3" borderId="3" xfId="0" applyFill="1" applyBorder="1" applyAlignment="1">
      <alignment horizontal="left"/>
    </xf>
    <xf numFmtId="0" fontId="22" fillId="0" borderId="0" xfId="0" applyFont="1"/>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1932477</xdr:colOff>
      <xdr:row>1</xdr:row>
      <xdr:rowOff>552450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1</xdr:row>
      <xdr:rowOff>2192</xdr:rowOff>
    </xdr:from>
    <xdr:to>
      <xdr:col>4</xdr:col>
      <xdr:colOff>626754</xdr:colOff>
      <xdr:row>1</xdr:row>
      <xdr:rowOff>457200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6700" y="221267"/>
          <a:ext cx="1964064" cy="4550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630564</xdr:colOff>
      <xdr:row>1</xdr:row>
      <xdr:rowOff>550545</xdr:rowOff>
    </xdr:to>
    <xdr:pic>
      <xdr:nvPicPr>
        <xdr:cNvPr id="2" name="Picture 1">
          <a:extLst>
            <a:ext uri="{FF2B5EF4-FFF2-40B4-BE49-F238E27FC236}">
              <a16:creationId xmlns:a16="http://schemas.microsoft.com/office/drawing/2014/main" id="{D555339F-FBDE-4CA9-B381-912C0D5AC4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964064" cy="4550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showGridLines="0" showRowColHeaders="0" tabSelected="1" showRuler="0" zoomScaleNormal="100" workbookViewId="0">
      <selection activeCell="B7" sqref="B7"/>
    </sheetView>
  </sheetViews>
  <sheetFormatPr defaultColWidth="8.90625" defaultRowHeight="14.5" x14ac:dyDescent="0.35"/>
  <cols>
    <col min="1" max="1" width="4.08984375" customWidth="1"/>
    <col min="2" max="2" width="74.90625" customWidth="1"/>
    <col min="3" max="3" width="12.90625" style="5" customWidth="1"/>
    <col min="4" max="4" width="26.453125" customWidth="1"/>
  </cols>
  <sheetData>
    <row r="1" spans="1:4" ht="17.25" customHeight="1" x14ac:dyDescent="0.35">
      <c r="A1" s="36"/>
    </row>
    <row r="2" spans="1:4" ht="47.25" customHeight="1" x14ac:dyDescent="0.5">
      <c r="B2" s="52" t="s">
        <v>51</v>
      </c>
      <c r="C2" s="53"/>
      <c r="D2" s="53"/>
    </row>
    <row r="3" spans="1:4" ht="8.25" customHeight="1" x14ac:dyDescent="0.35">
      <c r="B3" s="19"/>
      <c r="C3" s="21"/>
      <c r="D3" s="21"/>
    </row>
    <row r="4" spans="1:4" ht="66.75" customHeight="1" x14ac:dyDescent="0.35">
      <c r="B4" s="54" t="s">
        <v>52</v>
      </c>
      <c r="C4" s="54"/>
      <c r="D4" s="54"/>
    </row>
    <row r="5" spans="1:4" ht="21.75" customHeight="1" x14ac:dyDescent="0.35">
      <c r="C5"/>
    </row>
    <row r="6" spans="1:4" ht="27" customHeight="1" x14ac:dyDescent="0.35">
      <c r="B6" s="34" t="s">
        <v>41</v>
      </c>
      <c r="C6"/>
    </row>
    <row r="7" spans="1:4" x14ac:dyDescent="0.35">
      <c r="B7" s="35" t="s">
        <v>50</v>
      </c>
      <c r="C7"/>
    </row>
    <row r="8" spans="1:4" x14ac:dyDescent="0.35">
      <c r="B8" s="35" t="s">
        <v>42</v>
      </c>
    </row>
    <row r="9" spans="1:4" x14ac:dyDescent="0.35">
      <c r="B9" s="45"/>
    </row>
    <row r="10" spans="1:4" x14ac:dyDescent="0.35">
      <c r="B10" s="45"/>
    </row>
    <row r="11" spans="1:4" x14ac:dyDescent="0.35">
      <c r="B11" s="45"/>
    </row>
    <row r="15" spans="1:4" x14ac:dyDescent="0.35">
      <c r="B15" s="51" t="s">
        <v>13</v>
      </c>
      <c r="C15" s="51"/>
      <c r="D15" s="51"/>
    </row>
  </sheetData>
  <sheetProtection algorithmName="SHA-512" hashValue="sKHWKgAj5MAfNlxpjm8p7eWbxCOw9OAyN8b5SvoQFz9cNUtNgsk1zPSe5JpDYPP+17iN6oXW+qKbPPe3txp+1g==" saltValue="u9gK0PLTnaVf4LznH2MIhw==" spinCount="100000" sheet="1" selectLockedCells="1"/>
  <mergeCells count="3">
    <mergeCell ref="B15:D15"/>
    <mergeCell ref="B2:D2"/>
    <mergeCell ref="B4:D4"/>
  </mergeCells>
  <hyperlinks>
    <hyperlink ref="B7" location="'Master''s'!A1" display="Master's Programs" xr:uid="{00000000-0004-0000-0000-000000000000}"/>
    <hyperlink ref="B8" location="Doctoral!A1" display="Doctoral Programs" xr:uid="{00000000-0004-0000-0000-000001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36"/>
  <sheetViews>
    <sheetView showGridLines="0" showRowColHeaders="0" showRuler="0" topLeftCell="C1" zoomScaleNormal="100" workbookViewId="0">
      <selection activeCell="L5" sqref="L5"/>
      <extLst>
        <ext xmlns:xlsdti="http://schemas.microsoft.com/office/spreadsheetml/2023/showDataTypeIcons" uri="{77bfe23e-c014-4d31-8a63-9c772dbf06b6}">
          <xlsdti:showDataTypeIcons visible="0"/>
        </ext>
      </extLst>
    </sheetView>
  </sheetViews>
  <sheetFormatPr defaultColWidth="8.90625" defaultRowHeight="14.5" x14ac:dyDescent="0.35"/>
  <cols>
    <col min="1" max="1" width="4.08984375" customWidth="1"/>
    <col min="2" max="2" width="2.08984375" customWidth="1"/>
    <col min="5" max="5" width="30.36328125" customWidth="1"/>
    <col min="6" max="6" width="11.453125" bestFit="1" customWidth="1"/>
    <col min="8" max="8" width="14.90625" style="5" customWidth="1"/>
    <col min="9" max="9" width="4.6328125" customWidth="1"/>
    <col min="10" max="10" width="13.453125" style="5" customWidth="1"/>
    <col min="11" max="11" width="4.6328125" customWidth="1"/>
    <col min="12" max="12" width="13.453125" style="5" customWidth="1"/>
    <col min="13" max="13" width="4.6328125" style="5" customWidth="1"/>
    <col min="14" max="14" width="13.453125" style="5" customWidth="1"/>
    <col min="15" max="15" width="3.453125" customWidth="1"/>
  </cols>
  <sheetData>
    <row r="1" spans="2:19" ht="17.25" customHeight="1" x14ac:dyDescent="0.35"/>
    <row r="2" spans="2:19" ht="47.25" customHeight="1" x14ac:dyDescent="0.35">
      <c r="C2" s="30"/>
      <c r="H2" s="56" t="s">
        <v>64</v>
      </c>
      <c r="I2" s="57"/>
      <c r="J2" s="57"/>
      <c r="K2" s="57"/>
      <c r="L2" s="57"/>
      <c r="M2" s="57"/>
      <c r="N2" s="57"/>
      <c r="O2" s="57"/>
    </row>
    <row r="3" spans="2:19" ht="27.75" customHeight="1" x14ac:dyDescent="0.45">
      <c r="B3" s="19"/>
      <c r="C3" s="49" t="s">
        <v>68</v>
      </c>
      <c r="D3" s="19"/>
      <c r="E3" s="19"/>
      <c r="F3" s="63" t="s">
        <v>65</v>
      </c>
      <c r="G3" s="64"/>
      <c r="H3" s="20"/>
      <c r="I3" s="21"/>
      <c r="J3" s="21"/>
      <c r="K3" s="21"/>
      <c r="L3" s="21"/>
      <c r="M3" s="21"/>
      <c r="N3" s="21"/>
      <c r="O3" s="21"/>
    </row>
    <row r="4" spans="2:19" ht="19.5" customHeight="1" x14ac:dyDescent="0.4">
      <c r="C4" s="48"/>
      <c r="F4" s="62"/>
      <c r="G4" s="62"/>
      <c r="J4" s="39" t="s">
        <v>54</v>
      </c>
      <c r="L4" s="39" t="s">
        <v>55</v>
      </c>
      <c r="N4" s="39" t="s">
        <v>56</v>
      </c>
    </row>
    <row r="5" spans="2:19" ht="18" customHeight="1" x14ac:dyDescent="0.45">
      <c r="D5" s="6" t="s">
        <v>14</v>
      </c>
      <c r="E5" s="27"/>
      <c r="F5" s="27"/>
      <c r="G5" s="27"/>
      <c r="H5" s="27"/>
      <c r="I5" s="27"/>
      <c r="J5" s="38" t="s">
        <v>45</v>
      </c>
      <c r="L5" s="38" t="s">
        <v>45</v>
      </c>
      <c r="M5" s="22"/>
      <c r="N5" s="38" t="s">
        <v>45</v>
      </c>
      <c r="O5" s="27"/>
    </row>
    <row r="6" spans="2:19" ht="6" customHeight="1" x14ac:dyDescent="0.35"/>
    <row r="7" spans="2:19" ht="15" thickBot="1" x14ac:dyDescent="0.4">
      <c r="B7" s="1" t="s">
        <v>7</v>
      </c>
      <c r="C7" s="1"/>
      <c r="D7" s="2"/>
      <c r="E7" s="2"/>
      <c r="F7" s="2"/>
      <c r="G7" s="2"/>
      <c r="H7" s="4" t="s">
        <v>3</v>
      </c>
      <c r="I7" s="3"/>
      <c r="J7" s="4" t="s">
        <v>57</v>
      </c>
      <c r="K7" s="3"/>
      <c r="L7" s="4" t="s">
        <v>58</v>
      </c>
      <c r="M7" s="4"/>
      <c r="N7" s="4" t="s">
        <v>59</v>
      </c>
      <c r="O7" s="2"/>
      <c r="Q7" s="50" t="str">
        <f>IFERROR(_xlfn.NUMBERVALUE(TRIM(LEFT(J5,2))),"")</f>
        <v/>
      </c>
      <c r="R7" s="50" t="str">
        <f>IFERROR(_xlfn.NUMBERVALUE(TRIM(LEFT(L5,2))),"")</f>
        <v/>
      </c>
      <c r="S7" s="50" t="str">
        <f>IFERROR(_xlfn.NUMBERVALUE(TRIM(LEFT(N5,2))),"")</f>
        <v/>
      </c>
    </row>
    <row r="8" spans="2:19" ht="9" customHeight="1" x14ac:dyDescent="0.35"/>
    <row r="9" spans="2:19" ht="21.75" customHeight="1" x14ac:dyDescent="0.35">
      <c r="B9" s="9" t="s">
        <v>1</v>
      </c>
      <c r="C9" s="9"/>
      <c r="D9" s="58"/>
      <c r="E9" s="58"/>
      <c r="F9" s="10"/>
      <c r="G9" s="10"/>
      <c r="H9" s="11">
        <f>J9+L9+N9</f>
        <v>0</v>
      </c>
      <c r="I9" s="10"/>
      <c r="J9" s="11">
        <f>IF((OR(F3="Fall 2026 or later")),(VLOOKUP(J5,Data!A2:E22,2,FALSE)),IF((OR(F3="Fall 2025")),(VLOOKUP(J5,Data!A2:E22,4,FALSE)),IF((OR(F3="Fall 2024")),(VLOOKUP(J5,Data!A2:E22,5,FALSE)),0)))</f>
        <v>0</v>
      </c>
      <c r="K9" s="10"/>
      <c r="L9" s="11">
        <f>IF((OR(F3="Fall 2026 or later")),(VLOOKUP(L5,Data!A2:E22,2,FALSE)),IF((OR(F3="Fall 2025")),(VLOOKUP(L5,Data!A2:E22,4,FALSE)),IF((OR(F3="Fall 2024")),(VLOOKUP(L5,Data!A2:E22,5,FALSE)),0)))</f>
        <v>0</v>
      </c>
      <c r="M9" s="11"/>
      <c r="N9" s="11">
        <f>IF((OR(F3="Fall 2026 or later")),(VLOOKUP(N5,Data!A2:E22,2,FALSE)),IF((OR(F3="Fall 2025")),(VLOOKUP(N5,Data!A2:E22,4,FALSE)),IF((OR(F3="Fall 2024")),(VLOOKUP(N5,Data!A2:E22,5,FALSE)),0)))</f>
        <v>0</v>
      </c>
      <c r="O9" s="10"/>
    </row>
    <row r="10" spans="2:19" ht="21.75" customHeight="1" x14ac:dyDescent="0.35">
      <c r="B10" s="37" t="s">
        <v>0</v>
      </c>
      <c r="C10" s="37"/>
    </row>
    <row r="11" spans="2:19" ht="21.75" customHeight="1" x14ac:dyDescent="0.35">
      <c r="B11" s="12" t="s">
        <v>2</v>
      </c>
      <c r="C11" s="12"/>
      <c r="D11" s="10"/>
      <c r="E11" s="10"/>
      <c r="F11" s="10"/>
      <c r="G11" s="10"/>
      <c r="H11" s="11">
        <f>J11+L11+N11</f>
        <v>0</v>
      </c>
      <c r="I11" s="10"/>
      <c r="J11" s="11">
        <f>VLOOKUP(J5,Data!A2:C22,3,FALSE)</f>
        <v>0</v>
      </c>
      <c r="K11" s="10"/>
      <c r="L11" s="11">
        <f>VLOOKUP(L5,Data!A2:C22,3,FALSE)</f>
        <v>0</v>
      </c>
      <c r="M11" s="11"/>
      <c r="N11" s="11">
        <f>VLOOKUP(N5,Data!A2:C22,3,FALSE)</f>
        <v>0</v>
      </c>
      <c r="O11" s="10"/>
    </row>
    <row r="12" spans="2:19" ht="21.75" customHeight="1" x14ac:dyDescent="0.35">
      <c r="B12" s="33" t="s">
        <v>16</v>
      </c>
      <c r="C12" s="33"/>
      <c r="H12" s="5">
        <f>J12+L12+N12</f>
        <v>0</v>
      </c>
      <c r="J12" s="5">
        <f>IF(AND(J5&lt;&gt;"not enrolled", J5&lt;&gt;"select"), 87, 0)</f>
        <v>0</v>
      </c>
      <c r="L12" s="5">
        <f>IF(AND(L5&lt;&gt;"not enrolled", L5&lt;&gt;"select"), 87, 0)</f>
        <v>0</v>
      </c>
      <c r="N12" s="5">
        <f>IF(AND(N5&lt;&gt;"not enrolled", N5&lt;&gt;"select"), 87, 0)</f>
        <v>0</v>
      </c>
    </row>
    <row r="13" spans="2:19" ht="21.75" customHeight="1" x14ac:dyDescent="0.35">
      <c r="B13" s="59" t="s">
        <v>40</v>
      </c>
      <c r="C13" s="59"/>
      <c r="D13" s="59"/>
      <c r="E13" s="60"/>
      <c r="F13" s="29"/>
      <c r="G13" s="10"/>
      <c r="H13" s="28">
        <f>J13+L13+N13</f>
        <v>0</v>
      </c>
      <c r="I13" s="10"/>
      <c r="J13" s="28">
        <f>IF(AND(F13="Yes", J5&lt;&gt;"not enrolled"), (VLOOKUP(F13,Data!K3:L4, 2, FALSE)), 0)</f>
        <v>0</v>
      </c>
      <c r="K13" s="10"/>
      <c r="L13" s="28">
        <v>0</v>
      </c>
      <c r="M13" s="28"/>
      <c r="N13" s="28">
        <f>IF(AND(F13="Yes", N5&lt;&gt;"not enrolled"), (VLOOKUP(F13,Data!K3:L4, 2, FALSE)), 0)</f>
        <v>0</v>
      </c>
      <c r="O13" s="10"/>
    </row>
    <row r="14" spans="2:19" ht="21.75" customHeight="1" x14ac:dyDescent="0.35">
      <c r="B14" s="61" t="s">
        <v>46</v>
      </c>
      <c r="C14" s="61"/>
      <c r="D14" s="61"/>
      <c r="E14" s="61"/>
      <c r="F14" s="47"/>
      <c r="G14" s="30"/>
      <c r="H14" s="31">
        <f>J14+L14+N14</f>
        <v>0</v>
      </c>
      <c r="I14" s="30"/>
      <c r="J14" s="46">
        <f>IF(AND(J5&lt;&gt;"select", J5&lt;&gt;"not enrolled",J5&lt;&gt;"4 credits",J5&lt;&gt;"5 credits",J5&lt;&gt;"6 credits",J5&lt;&gt;"7 credits"), 258, 0)</f>
        <v>0</v>
      </c>
      <c r="K14" s="30"/>
      <c r="L14" s="46">
        <f>IF(AND(L5&lt;&gt;"select", L5&lt;&gt;"not enrolled",L5&lt;&gt;"4 credits",L5&lt;&gt;"5 credits",L5&lt;&gt;"6 credits",L5&lt;&gt;"7 credits"), 258, 0)</f>
        <v>0</v>
      </c>
      <c r="M14" s="31"/>
      <c r="N14" s="46">
        <f>IF(AND(N5&lt;&gt;"select", N5&lt;&gt;"not enrolled",N5&lt;&gt;"4 credits",N5&lt;&gt;"5 credits",N5&lt;&gt;"6 credits",N5&lt;&gt;"7 credits"), 258, 0)</f>
        <v>0</v>
      </c>
      <c r="O14" s="30"/>
    </row>
    <row r="15" spans="2:19" ht="21.75" customHeight="1" x14ac:dyDescent="0.35">
      <c r="D15" s="7" t="s">
        <v>6</v>
      </c>
      <c r="H15" s="8">
        <f>SUM(H9, H11:H14)</f>
        <v>0</v>
      </c>
      <c r="J15" s="8">
        <f>SUM(J9,J11:J14)</f>
        <v>0</v>
      </c>
      <c r="L15" s="8">
        <f>SUM(L9,L11:L14)</f>
        <v>0</v>
      </c>
      <c r="M15" s="8"/>
      <c r="N15" s="8">
        <f>SUM(N9,N11:N14)</f>
        <v>0</v>
      </c>
    </row>
    <row r="16" spans="2:19" ht="24" customHeight="1" x14ac:dyDescent="0.35"/>
    <row r="17" spans="2:24" ht="15" thickBot="1" x14ac:dyDescent="0.4">
      <c r="B17" s="1" t="s">
        <v>10</v>
      </c>
      <c r="C17" s="1"/>
      <c r="D17" s="2"/>
      <c r="E17" s="2"/>
      <c r="F17" s="2"/>
      <c r="G17" s="2"/>
      <c r="H17" s="4" t="s">
        <v>3</v>
      </c>
      <c r="I17" s="3"/>
      <c r="J17" s="4" t="s">
        <v>57</v>
      </c>
      <c r="K17" s="3"/>
      <c r="L17" s="4" t="s">
        <v>58</v>
      </c>
      <c r="M17" s="4"/>
      <c r="N17" s="4" t="s">
        <v>59</v>
      </c>
      <c r="O17" s="2"/>
      <c r="Q17" s="50">
        <f>IF($J$5="not enrolled",1,IF(Q7&lt;8,1,0))</f>
        <v>0</v>
      </c>
      <c r="R17" s="50">
        <f>IF($L$5="not enrolled",1,IF(R7&lt;8,1,0))</f>
        <v>0</v>
      </c>
      <c r="S17" s="50">
        <f>IF($N$5="not enrolled",1,IF(S7&lt;8,1,0))</f>
        <v>0</v>
      </c>
    </row>
    <row r="18" spans="2:24" ht="21.75" customHeight="1" x14ac:dyDescent="0.35">
      <c r="B18" t="s">
        <v>15</v>
      </c>
      <c r="H18" s="15"/>
      <c r="J18" s="5">
        <f>IF((AND(J5&lt;&gt;"not enrolled", L5&lt;&gt;"not enrolled", N5&lt;&gt;"not enrolled")), (H18/3), IF((AND(J5&lt;&gt;"not enrolled", L5&lt;&gt;"not enrolled", N5="not enrolled")), (H18/2), IF((AND(J5&lt;&gt;"not enrolled", L5="not enrolled", N5="not enrolled")), (H18/1), 0)))</f>
        <v>0</v>
      </c>
      <c r="L18" s="5">
        <f>IF((AND(J5&lt;&gt;"not enrolled", L5&lt;&gt;"not enrolled", N5&lt;&gt;"not enrolled")), (H18/3), IF((AND(J5&lt;&gt;"not enrolled", L5&lt;&gt;"not enrolled", N5="not enrolled")), (H18/2), IF((AND(J5="not enrolled", L5&lt;&gt;"not enrolled", N5&lt;&gt;"not enrolled")), (H18/2), 0)))</f>
        <v>0</v>
      </c>
      <c r="N18" s="5">
        <f>IF((AND(J5&lt;&gt;"not enrolled", L5&lt;&gt;"not enrolled", N5&lt;&gt;"not enrolled")), (H18/3), IF((AND(J5="not enrolled", L5&lt;&gt;"not enrolled", N5&lt;&gt;"not enrolled")), (H18/2), IF((AND(J5="not enrolled", L5="not enrolled", N5&lt;&gt;"not enrolled")), (H18), 0)))</f>
        <v>0</v>
      </c>
    </row>
    <row r="19" spans="2:24" ht="21.75" customHeight="1" x14ac:dyDescent="0.35">
      <c r="B19" s="10" t="s">
        <v>8</v>
      </c>
      <c r="C19" s="10"/>
      <c r="D19" s="10"/>
      <c r="E19" s="10"/>
      <c r="F19" s="10"/>
      <c r="G19" s="10"/>
      <c r="H19" s="16"/>
      <c r="I19" s="10"/>
      <c r="J19" s="11">
        <f>IF((AND(J5&lt;&gt;"not enrolled", L5&lt;&gt;"not enrolled", N5&lt;&gt;"not enrolled")), (H19/3), IF((AND(J5&lt;&gt;"not enrolled", L5&lt;&gt;"not enrolled", N5="not enrolled")), (H19/2), IF((AND(J5&lt;&gt;"not enrolled", L5="not enrolled", N5="not enrolled")), (H19/1), 0)))</f>
        <v>0</v>
      </c>
      <c r="K19" s="10"/>
      <c r="L19" s="11">
        <f>IF((AND(J5&lt;&gt;"not enrolled", L5&lt;&gt;"not enrolled", N5&lt;&gt;"not enrolled")), (H19/3), IF((AND(J5&lt;&gt;"not enrolled", L5&lt;&gt;"not enrolled", N5="not enrolled")), (H19/2), IF((AND(J5="not enrolled", L5&lt;&gt;"not enrolled", N5&lt;&gt;"not enrolled")), (H19/2), 0)))</f>
        <v>0</v>
      </c>
      <c r="M19" s="11"/>
      <c r="N19" s="11">
        <f>IF((AND(J5&lt;&gt;"not enrolled", L5&lt;&gt;"not enrolled", N5&lt;&gt;"not enrolled")), (H19/3), IF((AND(J5="not enrolled", L5&lt;&gt;"not enrolled", N5&lt;&gt;"not enrolled")), (H19/2), IF((AND(J5="not enrolled", L5="not enrolled", N5&lt;&gt;"not enrolled")), (H19), 0)))</f>
        <v>0</v>
      </c>
      <c r="O19" s="10"/>
    </row>
    <row r="20" spans="2:24" ht="21.75" customHeight="1" x14ac:dyDescent="0.35">
      <c r="B20" t="s">
        <v>47</v>
      </c>
      <c r="F20" s="17"/>
      <c r="H20" s="5">
        <f>SUM(J20,L20,N20)</f>
        <v>0</v>
      </c>
      <c r="J20" s="5">
        <f>IF((AND(J5&lt;&gt;"not enrolled", L5&lt;&gt;"not enrolled", N5&lt;&gt;"not enrolled")), ROUND(((F20-(F20*0.01057))/3),0), IF((AND(J5&lt;&gt;"not enrolled", L5&lt;&gt;"not enrolled", N5="not enrolled")), ROUND(((F20-(F20*0.01057))/2),0), IF((AND(J5&lt;&gt;"not enrolled", L5="not enrolled", N5="not enrolled")), ROUND(((F20-(F20*0.01057))/1),0), 0)))</f>
        <v>0</v>
      </c>
      <c r="L20" s="5">
        <f>IF((AND(J5&lt;&gt;"not enrolled", L5&lt;&gt;"not enrolled", N5&lt;&gt;"not enrolled")), ROUND(((F20-(F20*0.01057))/3),0), IF((AND(J5&lt;&gt;"not enrolled", L5&lt;&gt;"not enrolled", N5="not enrolled")), ROUND(((F20-(F20*0.01057))/2),0), IF((AND(J5="not enrolled", L5&lt;&gt;"not enrolled", N5&lt;&gt;"not enrolled")), ROUND(((F20-(F20*0.01057))/2),0), 0)))</f>
        <v>0</v>
      </c>
      <c r="N20" s="5">
        <f>IF((AND(J5&lt;&gt;"not enrolled", L5&lt;&gt;"not enrolled", N5&lt;&gt;"not enrolled")), ROUND(((F20-(F20*0.01057))/3),0), IF((AND(J5="not enrolled", L5&lt;&gt;"not enrolled", N5&lt;&gt;"not enrolled")), ROUND(((F20-(F20*0.01057))/2),0), IF((AND(J5="not enrolled", L5="not enrolled", N5&lt;&gt;"not enrolled")), ROUND(((F20-(F20*0.01057))/1),0), 0)))</f>
        <v>0</v>
      </c>
      <c r="P20" s="55" t="str">
        <f>IFERROR(IF(SUM($Q$17:$T$17)=0,"",Language!$A$1),"")</f>
        <v/>
      </c>
      <c r="Q20" s="55"/>
      <c r="R20" s="55"/>
      <c r="S20" s="55"/>
      <c r="T20" s="55"/>
      <c r="U20" s="55"/>
      <c r="V20" s="55"/>
      <c r="W20" s="55"/>
      <c r="X20" s="55"/>
    </row>
    <row r="21" spans="2:24" ht="21.75" customHeight="1" x14ac:dyDescent="0.35">
      <c r="B21" s="10" t="s">
        <v>48</v>
      </c>
      <c r="C21" s="10"/>
      <c r="D21" s="10"/>
      <c r="E21" s="10"/>
      <c r="F21" s="17"/>
      <c r="G21" s="10"/>
      <c r="H21" s="11">
        <f>SUM(J21,L21,N21)</f>
        <v>0</v>
      </c>
      <c r="I21" s="10"/>
      <c r="J21" s="11">
        <f>IF((AND(J5&lt;&gt;"not enrolled", L5&lt;&gt;"not enrolled", N5&lt;&gt;"not enrolled")), ROUND(((F21-(F21*0.04228))/3),0), IF((AND(J5&lt;&gt;"not enrolled", L5&lt;&gt;"not enrolled", N5="not enrolled")), ROUND(((F21-(F21*0.04228))/2),0), IF((AND(J5&lt;&gt;"not enrolled", L5="not enrolled", N5="not enrolled")), ROUND(((F21-(F21*0.04228))/1),0), 0)))</f>
        <v>0</v>
      </c>
      <c r="K21" s="10"/>
      <c r="L21" s="11">
        <f>IF((AND(J5&lt;&gt;"not enrolled", L5&lt;&gt;"not enrolled", N5&lt;&gt;"not enrolled")), ROUND(((F21-(F21*0.04228))/3),0), IF((AND(J5&lt;&gt;"not enrolled", L5&lt;&gt;"not enrolled", N5="not enrolled")), ROUND(((F21-(F21*0.04228))/2),0), IF((AND(J5="not enrolled", L5&lt;&gt;"not enrolled", N5&lt;&gt;"not enrolled")), ROUND(((F21-(F21*0.04228))/2),0), 0)))</f>
        <v>0</v>
      </c>
      <c r="M21" s="11"/>
      <c r="N21" s="11">
        <f>IF((AND(J5&lt;&gt;"not enrolled", L5&lt;&gt;"not enrolled", N5&lt;&gt;"not enrolled")), ROUND(((F21-(F21*0.04228))/3),0), IF((AND(J5="not enrolled", L5&lt;&gt;"not enrolled", N5&lt;&gt;"not enrolled")), ROUND(((F21-(F21*0.04228))/2),0), IF((AND(J5="not enrolled", L5="not enrolled", N5&lt;&gt;"not enrolled")), ROUND(((F21-(F21*0.04228))/1),0), 0)))</f>
        <v>0</v>
      </c>
      <c r="O21" s="10"/>
      <c r="P21" s="55"/>
      <c r="Q21" s="55"/>
      <c r="R21" s="55"/>
      <c r="S21" s="55"/>
      <c r="T21" s="55"/>
      <c r="U21" s="55"/>
      <c r="V21" s="55"/>
      <c r="W21" s="55"/>
      <c r="X21" s="55"/>
    </row>
    <row r="22" spans="2:24" ht="21.75" customHeight="1" x14ac:dyDescent="0.35">
      <c r="B22" s="65" t="s">
        <v>18</v>
      </c>
      <c r="C22" s="65"/>
      <c r="D22" s="65"/>
      <c r="E22" s="65"/>
      <c r="F22" s="65"/>
      <c r="H22" s="16"/>
      <c r="J22" s="5">
        <f>IF((AND(J5&lt;&gt;"not enrolled", L5&lt;&gt;"not enrolled", N5&lt;&gt;"not enrolled")), (H22/3), IF((AND(J5&lt;&gt;"not enrolled", L5&lt;&gt;"not enrolled", N5="not enrolled")), (H22/2), IF((AND(J5&lt;&gt;"not enrolled", L5="not enrolled", N5="not enrolled")), (H22/1), 0)))</f>
        <v>0</v>
      </c>
      <c r="L22" s="5">
        <f>IF((AND(J5&lt;&gt;"not enrolled", L5&lt;&gt;"not enrolled", N5&lt;&gt;"not enrolled")), (H22/3), IF((AND(J5&lt;&gt;"not enrolled", L5&lt;&gt;"not enrolled", N5="not enrolled")), (H22/2), IF((AND(J5="not enrolled", L5&lt;&gt;"not enrolled", N5&lt;&gt;"not enrolled")), (H22/2), 0)))</f>
        <v>0</v>
      </c>
      <c r="N22" s="5">
        <f>IF((AND(J5&lt;&gt;"not enrolled", L5&lt;&gt;"not enrolled", N5&lt;&gt;"not enrolled")), (H22/3), IF((AND(J5="not enrolled", L5&lt;&gt;"not enrolled", N5&lt;&gt;"not enrolled")), (H22/2), IF((AND(J5="not enrolled", L5="not enrolled", N5&lt;&gt;"not enrolled")), (H22), 0)))</f>
        <v>0</v>
      </c>
    </row>
    <row r="23" spans="2:24" ht="21.75" customHeight="1" x14ac:dyDescent="0.35">
      <c r="B23" s="67" t="s">
        <v>19</v>
      </c>
      <c r="C23" s="67"/>
      <c r="D23" s="67"/>
      <c r="E23" s="67"/>
      <c r="F23" s="67"/>
      <c r="G23" s="67"/>
      <c r="H23" s="26">
        <f>J23+L23+N23</f>
        <v>0</v>
      </c>
      <c r="I23" s="25"/>
      <c r="J23" s="18"/>
      <c r="K23" s="25"/>
      <c r="L23" s="18"/>
      <c r="M23" s="32"/>
      <c r="N23" s="44"/>
      <c r="O23" s="25"/>
    </row>
    <row r="24" spans="2:24" ht="21.75" customHeight="1" x14ac:dyDescent="0.35">
      <c r="D24" s="7" t="s">
        <v>9</v>
      </c>
      <c r="H24" s="5">
        <f>SUM(H18:H23)</f>
        <v>0</v>
      </c>
      <c r="J24" s="5">
        <f>SUM(J18:J23)</f>
        <v>0</v>
      </c>
      <c r="L24" s="5">
        <f>SUM(L18:L22,L23)</f>
        <v>0</v>
      </c>
      <c r="N24" s="5">
        <f>SUM(N18:N22,N23)</f>
        <v>0</v>
      </c>
    </row>
    <row r="25" spans="2:24" ht="15" thickBot="1" x14ac:dyDescent="0.4"/>
    <row r="26" spans="2:24" ht="21.75" customHeight="1" thickTop="1" thickBot="1" x14ac:dyDescent="0.5">
      <c r="B26" s="14" t="s">
        <v>11</v>
      </c>
      <c r="C26" s="14"/>
      <c r="D26" s="13"/>
      <c r="E26" s="13"/>
      <c r="F26" s="13"/>
      <c r="G26" s="13"/>
      <c r="H26" s="23">
        <f>H15-H24</f>
        <v>0</v>
      </c>
      <c r="I26" s="24"/>
      <c r="J26" s="23">
        <f>J15-J24</f>
        <v>0</v>
      </c>
      <c r="K26" s="24"/>
      <c r="L26" s="23">
        <f>L15-L24</f>
        <v>0</v>
      </c>
      <c r="M26" s="23"/>
      <c r="N26" s="23">
        <f>N15-N24</f>
        <v>0</v>
      </c>
      <c r="O26" s="13"/>
    </row>
    <row r="27" spans="2:24" ht="15" thickTop="1" x14ac:dyDescent="0.35"/>
    <row r="28" spans="2:24" x14ac:dyDescent="0.35">
      <c r="B28" s="7" t="s">
        <v>12</v>
      </c>
      <c r="C28" s="7"/>
    </row>
    <row r="29" spans="2:24" ht="21.75" customHeight="1" x14ac:dyDescent="0.35">
      <c r="B29" s="41">
        <v>1</v>
      </c>
      <c r="C29" t="s">
        <v>69</v>
      </c>
      <c r="D29" s="40"/>
      <c r="E29" s="40"/>
      <c r="F29" s="40"/>
      <c r="G29" s="40"/>
      <c r="H29" s="40"/>
      <c r="I29" s="40"/>
      <c r="J29" s="40"/>
      <c r="K29" s="40"/>
      <c r="L29" s="40"/>
      <c r="M29" s="40"/>
      <c r="N29" s="40"/>
      <c r="O29" s="40"/>
    </row>
    <row r="30" spans="2:24" ht="18" customHeight="1" x14ac:dyDescent="0.35">
      <c r="B30" s="43">
        <v>2</v>
      </c>
      <c r="C30" t="s">
        <v>62</v>
      </c>
      <c r="H30"/>
      <c r="J30"/>
      <c r="L30"/>
      <c r="M30"/>
      <c r="N30"/>
    </row>
    <row r="31" spans="2:24" ht="31.5" customHeight="1" x14ac:dyDescent="0.35">
      <c r="B31" s="42">
        <v>3</v>
      </c>
      <c r="C31" s="66" t="s">
        <v>70</v>
      </c>
      <c r="D31" s="66"/>
      <c r="E31" s="66"/>
      <c r="F31" s="66"/>
      <c r="G31" s="66"/>
      <c r="H31" s="66"/>
      <c r="I31" s="66"/>
      <c r="J31" s="66"/>
      <c r="K31" s="66"/>
      <c r="L31" s="66"/>
      <c r="M31" s="66"/>
      <c r="N31" s="66"/>
      <c r="O31" s="66"/>
    </row>
    <row r="32" spans="2:24" ht="34.5" customHeight="1" x14ac:dyDescent="0.35">
      <c r="B32" s="42">
        <v>4</v>
      </c>
      <c r="C32" s="66" t="s">
        <v>49</v>
      </c>
      <c r="D32" s="66"/>
      <c r="E32" s="66"/>
      <c r="F32" s="66"/>
      <c r="G32" s="66"/>
      <c r="H32" s="66"/>
      <c r="I32" s="66"/>
      <c r="J32" s="66"/>
      <c r="K32" s="66"/>
      <c r="L32" s="66"/>
      <c r="M32" s="66"/>
      <c r="N32" s="66"/>
      <c r="O32" s="66"/>
    </row>
    <row r="33" spans="2:15" ht="62.25" customHeight="1" x14ac:dyDescent="0.35">
      <c r="B33" s="42">
        <v>5</v>
      </c>
      <c r="C33" s="66" t="s">
        <v>71</v>
      </c>
      <c r="D33" s="66"/>
      <c r="E33" s="66"/>
      <c r="F33" s="66"/>
      <c r="G33" s="66"/>
      <c r="H33" s="66"/>
      <c r="I33" s="66"/>
      <c r="J33" s="66"/>
      <c r="K33" s="66"/>
      <c r="L33" s="66"/>
      <c r="M33" s="66"/>
      <c r="N33" s="66"/>
      <c r="O33" s="66"/>
    </row>
    <row r="34" spans="2:15" ht="21.75" customHeight="1" x14ac:dyDescent="0.35"/>
    <row r="36" spans="2:15" x14ac:dyDescent="0.35">
      <c r="B36" s="51" t="s">
        <v>13</v>
      </c>
      <c r="C36" s="51"/>
      <c r="D36" s="51"/>
      <c r="E36" s="51"/>
      <c r="F36" s="51"/>
      <c r="G36" s="51"/>
      <c r="H36" s="51"/>
      <c r="I36" s="51"/>
      <c r="J36" s="51"/>
      <c r="K36" s="51"/>
      <c r="L36" s="51"/>
      <c r="M36" s="51"/>
      <c r="N36" s="51"/>
      <c r="O36" s="51"/>
    </row>
  </sheetData>
  <sheetProtection algorithmName="SHA-512" hashValue="4MGKDm+82osqq2SRhlxl92k9fIZxbDnv0BBLdZOxaoe2eUaWMUvtfTDnHkzwbD8oFWreTw2vDh+jkflAtS06MQ==" saltValue="bZAE1KYoF8Om4nSgYXYpjg==" spinCount="100000" sheet="1" objects="1" scenarios="1" selectLockedCells="1"/>
  <mergeCells count="13">
    <mergeCell ref="B22:F22"/>
    <mergeCell ref="B36:O36"/>
    <mergeCell ref="C33:O33"/>
    <mergeCell ref="C32:O32"/>
    <mergeCell ref="C31:O31"/>
    <mergeCell ref="B23:G23"/>
    <mergeCell ref="P20:X21"/>
    <mergeCell ref="H2:O2"/>
    <mergeCell ref="D9:E9"/>
    <mergeCell ref="B13:E13"/>
    <mergeCell ref="B14:E14"/>
    <mergeCell ref="F4:G4"/>
    <mergeCell ref="F3:G3"/>
  </mergeCells>
  <hyperlinks>
    <hyperlink ref="B13" r:id="rId1" display="Will you enroll in DU's health insurance plan?" xr:uid="{00000000-0004-0000-0100-000000000000}"/>
    <hyperlink ref="B14"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Data!$A$2:$A$22</xm:f>
          </x14:formula1>
          <xm:sqref>N5 J5 L5</xm:sqref>
        </x14:dataValidation>
        <x14:dataValidation type="list" allowBlank="1" showInputMessage="1" showErrorMessage="1" xr:uid="{00000000-0002-0000-0100-000002000000}">
          <x14:formula1>
            <xm:f>Data!$K$3:$K$4</xm:f>
          </x14:formula1>
          <xm:sqref>F13</xm:sqref>
        </x14:dataValidation>
        <x14:dataValidation type="list" allowBlank="1" showInputMessage="1" showErrorMessage="1" xr:uid="{7244CEC4-55F7-4395-8C24-DA358A4397BF}">
          <x14:formula1>
            <xm:f>Data!$A$25:$A$27</xm:f>
          </x14:formula1>
          <xm:sqref>F3:G4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EDD52-9D6B-47E8-BC36-F5BD145960C4}">
  <sheetPr>
    <pageSetUpPr fitToPage="1"/>
  </sheetPr>
  <dimension ref="B1:X36"/>
  <sheetViews>
    <sheetView showGridLines="0" showRowColHeaders="0" showRuler="0" topLeftCell="B1" zoomScaleNormal="100" workbookViewId="0">
      <selection activeCell="N5" sqref="N5"/>
    </sheetView>
  </sheetViews>
  <sheetFormatPr defaultColWidth="8.90625" defaultRowHeight="14.5" x14ac:dyDescent="0.35"/>
  <cols>
    <col min="1" max="1" width="4.08984375" customWidth="1"/>
    <col min="2" max="2" width="2.08984375" customWidth="1"/>
    <col min="5" max="5" width="26.08984375" customWidth="1"/>
    <col min="6" max="6" width="11.453125" bestFit="1" customWidth="1"/>
    <col min="8" max="8" width="14.90625" style="5" customWidth="1"/>
    <col min="9" max="9" width="4.6328125" customWidth="1"/>
    <col min="10" max="10" width="13.453125" style="5" customWidth="1"/>
    <col min="11" max="11" width="4.6328125" customWidth="1"/>
    <col min="12" max="12" width="13.453125" style="5" customWidth="1"/>
    <col min="13" max="13" width="4.6328125" style="5" customWidth="1"/>
    <col min="14" max="14" width="13.453125" style="5" customWidth="1"/>
    <col min="15" max="15" width="3.453125" customWidth="1"/>
  </cols>
  <sheetData>
    <row r="1" spans="2:19" ht="17.25" customHeight="1" x14ac:dyDescent="0.35"/>
    <row r="2" spans="2:19" ht="47.25" customHeight="1" x14ac:dyDescent="0.35">
      <c r="H2" s="56" t="s">
        <v>53</v>
      </c>
      <c r="I2" s="57"/>
      <c r="J2" s="57"/>
      <c r="K2" s="57"/>
      <c r="L2" s="57"/>
      <c r="M2" s="57"/>
      <c r="N2" s="57"/>
      <c r="O2" s="57"/>
    </row>
    <row r="3" spans="2:19" ht="8.25" customHeight="1" x14ac:dyDescent="0.35">
      <c r="B3" s="19"/>
      <c r="C3" s="19"/>
      <c r="D3" s="19"/>
      <c r="E3" s="19"/>
      <c r="F3" s="19"/>
      <c r="G3" s="19"/>
      <c r="H3" s="20"/>
      <c r="I3" s="21"/>
      <c r="J3" s="21"/>
      <c r="K3" s="21"/>
      <c r="L3" s="21"/>
      <c r="M3" s="21"/>
      <c r="N3" s="21"/>
      <c r="O3" s="21"/>
    </row>
    <row r="4" spans="2:19" ht="19.5" customHeight="1" x14ac:dyDescent="0.35">
      <c r="J4" s="39" t="s">
        <v>54</v>
      </c>
      <c r="L4" s="39" t="s">
        <v>55</v>
      </c>
      <c r="N4" s="39" t="s">
        <v>56</v>
      </c>
    </row>
    <row r="5" spans="2:19" ht="18" customHeight="1" x14ac:dyDescent="0.45">
      <c r="D5" s="6" t="s">
        <v>14</v>
      </c>
      <c r="E5" s="27"/>
      <c r="F5" s="27"/>
      <c r="G5" s="27"/>
      <c r="H5" s="27"/>
      <c r="I5" s="27"/>
      <c r="J5" s="38" t="s">
        <v>45</v>
      </c>
      <c r="L5" s="38" t="s">
        <v>45</v>
      </c>
      <c r="M5" s="22"/>
      <c r="N5" s="38" t="s">
        <v>45</v>
      </c>
      <c r="O5" s="27"/>
    </row>
    <row r="6" spans="2:19" ht="6" customHeight="1" x14ac:dyDescent="0.35"/>
    <row r="7" spans="2:19" ht="15" thickBot="1" x14ac:dyDescent="0.4">
      <c r="B7" s="1" t="s">
        <v>7</v>
      </c>
      <c r="C7" s="1"/>
      <c r="D7" s="2"/>
      <c r="E7" s="2"/>
      <c r="F7" s="2"/>
      <c r="G7" s="2"/>
      <c r="H7" s="4" t="s">
        <v>3</v>
      </c>
      <c r="I7" s="3"/>
      <c r="J7" s="4" t="s">
        <v>57</v>
      </c>
      <c r="K7" s="3"/>
      <c r="L7" s="4" t="s">
        <v>58</v>
      </c>
      <c r="M7" s="4"/>
      <c r="N7" s="4" t="s">
        <v>59</v>
      </c>
      <c r="O7" s="2"/>
      <c r="Q7" s="50" t="str">
        <f>IFERROR(_xlfn.NUMBERVALUE(TRIM(LEFT(J5,2))),"")</f>
        <v/>
      </c>
      <c r="R7" s="50" t="str">
        <f>IFERROR(_xlfn.NUMBERVALUE(TRIM(LEFT(L5,2))),"")</f>
        <v/>
      </c>
      <c r="S7" s="50" t="str">
        <f>IFERROR(_xlfn.NUMBERVALUE(TRIM(LEFT(N5,2))),"")</f>
        <v/>
      </c>
    </row>
    <row r="8" spans="2:19" ht="9" customHeight="1" x14ac:dyDescent="0.35"/>
    <row r="9" spans="2:19" ht="21.75" customHeight="1" x14ac:dyDescent="0.35">
      <c r="B9" s="9" t="s">
        <v>1</v>
      </c>
      <c r="C9" s="9"/>
      <c r="D9" s="58"/>
      <c r="E9" s="58"/>
      <c r="F9" s="10"/>
      <c r="G9" s="10"/>
      <c r="H9" s="11">
        <f>J9+L9+N9</f>
        <v>0</v>
      </c>
      <c r="I9" s="10"/>
      <c r="J9" s="11">
        <f>VLOOKUP(J5,Data!G2:I22,2,FALSE)</f>
        <v>0</v>
      </c>
      <c r="K9" s="10"/>
      <c r="L9" s="11">
        <f>VLOOKUP(L5,Data!G2:I22,2,FALSE)</f>
        <v>0</v>
      </c>
      <c r="M9" s="11"/>
      <c r="N9" s="11">
        <f>VLOOKUP(N5,Data!G2:I22,2,FALSE)</f>
        <v>0</v>
      </c>
      <c r="O9" s="10"/>
    </row>
    <row r="10" spans="2:19" ht="21.75" customHeight="1" x14ac:dyDescent="0.35">
      <c r="B10" s="37" t="s">
        <v>0</v>
      </c>
      <c r="C10" s="37"/>
    </row>
    <row r="11" spans="2:19" ht="21.75" customHeight="1" x14ac:dyDescent="0.35">
      <c r="B11" s="12" t="s">
        <v>2</v>
      </c>
      <c r="C11" s="12"/>
      <c r="D11" s="10"/>
      <c r="E11" s="10"/>
      <c r="F11" s="10"/>
      <c r="G11" s="10"/>
      <c r="H11" s="11">
        <f>J11+L11+N11</f>
        <v>0</v>
      </c>
      <c r="I11" s="10"/>
      <c r="J11" s="11">
        <f>VLOOKUP(J5,Data!G2:I22,3,FALSE)</f>
        <v>0</v>
      </c>
      <c r="K11" s="10"/>
      <c r="L11" s="11">
        <f>VLOOKUP(L5,Data!G2:I22,3,FALSE)</f>
        <v>0</v>
      </c>
      <c r="M11" s="11"/>
      <c r="N11" s="11">
        <f>VLOOKUP(N5,Data!G2:I22,3,FALSE)</f>
        <v>0</v>
      </c>
      <c r="O11" s="10"/>
    </row>
    <row r="12" spans="2:19" ht="21.75" customHeight="1" x14ac:dyDescent="0.35">
      <c r="B12" s="33" t="s">
        <v>16</v>
      </c>
      <c r="C12" s="33"/>
      <c r="H12" s="5">
        <f>J12+L12+N12</f>
        <v>0</v>
      </c>
      <c r="J12" s="5">
        <f>IF(AND(J5&lt;&gt;"not enrolled", J5&lt;&gt;"select"), 87, 0)</f>
        <v>0</v>
      </c>
      <c r="L12" s="5">
        <f>IF(AND(L5&lt;&gt;"not enrolled", L5&lt;&gt;"select"), 87, 0)</f>
        <v>0</v>
      </c>
      <c r="N12" s="5">
        <f>IF(AND(N5&lt;&gt;"not enrolled", N5&lt;&gt;"select"), 87, 0)</f>
        <v>0</v>
      </c>
    </row>
    <row r="13" spans="2:19" ht="21.75" customHeight="1" x14ac:dyDescent="0.35">
      <c r="B13" s="59" t="s">
        <v>40</v>
      </c>
      <c r="C13" s="59"/>
      <c r="D13" s="59"/>
      <c r="E13" s="60"/>
      <c r="F13" s="29" t="s">
        <v>5</v>
      </c>
      <c r="G13" s="10"/>
      <c r="H13" s="28">
        <f>J13+L13+N13</f>
        <v>0</v>
      </c>
      <c r="I13" s="10"/>
      <c r="J13" s="28">
        <f>IF(AND(F13="Yes", J5&lt;&gt;"not enrolled"), (VLOOKUP(F13,Data!K3:L4, 2, FALSE)), 0)</f>
        <v>0</v>
      </c>
      <c r="K13" s="10"/>
      <c r="L13" s="28">
        <v>0</v>
      </c>
      <c r="M13" s="28"/>
      <c r="N13" s="28">
        <f>IF(AND(F13="Yes", N5&lt;&gt;"not enrolled"), (VLOOKUP(F13,Data!K3:L4, 2, FALSE)), 0)</f>
        <v>0</v>
      </c>
      <c r="O13" s="10"/>
    </row>
    <row r="14" spans="2:19" ht="21.75" customHeight="1" x14ac:dyDescent="0.35">
      <c r="B14" s="61" t="s">
        <v>46</v>
      </c>
      <c r="C14" s="61"/>
      <c r="D14" s="61"/>
      <c r="E14" s="61"/>
      <c r="F14" s="47"/>
      <c r="G14" s="30"/>
      <c r="H14" s="31">
        <f>J14+L14+N14</f>
        <v>0</v>
      </c>
      <c r="I14" s="30"/>
      <c r="J14" s="46">
        <f>IF(AND(J5&lt;&gt;"select", J5&lt;&gt;"not enrolled",J5&lt;&gt;"4 credits",J5&lt;&gt;"5 credits",J5&lt;&gt;"6 credits",J5&lt;&gt;"7 credits"), 258, 0)</f>
        <v>0</v>
      </c>
      <c r="K14" s="30"/>
      <c r="L14" s="46">
        <f>IF(AND(L5&lt;&gt;"select", L5&lt;&gt;"not enrolled",L5&lt;&gt;"4 credits",L5&lt;&gt;"5 credits",L5&lt;&gt;"6 credits",L5&lt;&gt;"7 credits"), 258, 0)</f>
        <v>0</v>
      </c>
      <c r="M14" s="31"/>
      <c r="N14" s="46">
        <f>IF(AND(N5&lt;&gt;"select", N5&lt;&gt;"not enrolled",N5&lt;&gt;"4 credits",N5&lt;&gt;"5 credits",N5&lt;&gt;"6 credits",N5&lt;&gt;"7 credits"), 258, 0)</f>
        <v>0</v>
      </c>
      <c r="O14" s="30"/>
    </row>
    <row r="15" spans="2:19" ht="21.75" customHeight="1" x14ac:dyDescent="0.35">
      <c r="D15" s="7" t="s">
        <v>6</v>
      </c>
      <c r="H15" s="8">
        <f>SUM(H9, H11:H14)</f>
        <v>0</v>
      </c>
      <c r="J15" s="8">
        <f>SUM(J9,J11:J14)</f>
        <v>0</v>
      </c>
      <c r="L15" s="8">
        <f>SUM(L9,L11:L14)</f>
        <v>0</v>
      </c>
      <c r="M15" s="8"/>
      <c r="N15" s="8">
        <f>SUM(N9,N11:N14)</f>
        <v>0</v>
      </c>
    </row>
    <row r="16" spans="2:19" ht="24" customHeight="1" x14ac:dyDescent="0.35"/>
    <row r="17" spans="2:24" ht="15" thickBot="1" x14ac:dyDescent="0.4">
      <c r="B17" s="1" t="s">
        <v>10</v>
      </c>
      <c r="C17" s="1"/>
      <c r="D17" s="2"/>
      <c r="E17" s="2"/>
      <c r="F17" s="2"/>
      <c r="G17" s="2"/>
      <c r="H17" s="4" t="s">
        <v>3</v>
      </c>
      <c r="I17" s="3"/>
      <c r="J17" s="4" t="s">
        <v>57</v>
      </c>
      <c r="K17" s="3"/>
      <c r="L17" s="4" t="s">
        <v>58</v>
      </c>
      <c r="M17" s="4"/>
      <c r="N17" s="4" t="s">
        <v>59</v>
      </c>
      <c r="O17" s="2"/>
      <c r="Q17" s="50">
        <f>IF($J$5="not enrolled",1,IF(Q7&lt;8,1,0))</f>
        <v>0</v>
      </c>
      <c r="R17" s="50">
        <f>IF($L$5="not enrolled",1,IF(R7&lt;8,1,0))</f>
        <v>0</v>
      </c>
      <c r="S17" s="50">
        <f>IF($N$5="not enrolled",1,IF(S7&lt;8,1,0))</f>
        <v>0</v>
      </c>
    </row>
    <row r="18" spans="2:24" ht="21.75" customHeight="1" x14ac:dyDescent="0.35">
      <c r="B18" t="s">
        <v>15</v>
      </c>
      <c r="H18" s="15"/>
      <c r="J18" s="5">
        <f>IF((AND(J5&lt;&gt;"not enrolled", L5&lt;&gt;"not enrolled", N5&lt;&gt;"not enrolled")), (H18/3), IF((AND(J5&lt;&gt;"not enrolled", L5&lt;&gt;"not enrolled", N5="not enrolled")), (H18/2), IF((AND(J5&lt;&gt;"not enrolled", L5="not enrolled", N5="not enrolled")), (H18/1), 0)))</f>
        <v>0</v>
      </c>
      <c r="L18" s="5">
        <f>IF((AND(J5&lt;&gt;"not enrolled", L5&lt;&gt;"not enrolled", N5&lt;&gt;"not enrolled")), (H18/3), IF((AND(J5&lt;&gt;"not enrolled", L5&lt;&gt;"not enrolled", N5="not enrolled")), (H18/2), IF((AND(J5="not enrolled", L5&lt;&gt;"not enrolled", N5&lt;&gt;"not enrolled")), (H18/2), 0)))</f>
        <v>0</v>
      </c>
      <c r="N18" s="5">
        <f>IF((AND(J5&lt;&gt;"not enrolled", L5&lt;&gt;"not enrolled", N5&lt;&gt;"not enrolled")), (H18/3), IF((AND(J5="not enrolled", L5&lt;&gt;"not enrolled", N5&lt;&gt;"not enrolled")), (H18/2), IF((AND(J5="not enrolled", L5="not enrolled", N5&lt;&gt;"not enrolled")), (H18), 0)))</f>
        <v>0</v>
      </c>
    </row>
    <row r="19" spans="2:24" ht="21.75" customHeight="1" x14ac:dyDescent="0.35">
      <c r="B19" s="10" t="s">
        <v>8</v>
      </c>
      <c r="C19" s="10"/>
      <c r="D19" s="10"/>
      <c r="E19" s="10"/>
      <c r="F19" s="10"/>
      <c r="G19" s="10"/>
      <c r="H19" s="16"/>
      <c r="I19" s="10"/>
      <c r="J19" s="11">
        <f>IF((AND(J5&lt;&gt;"not enrolled", L5&lt;&gt;"not enrolled", N5&lt;&gt;"not enrolled")), (H19/3), IF((AND(J5&lt;&gt;"not enrolled", L5&lt;&gt;"not enrolled", N5="not enrolled")), (H19/2), IF((AND(J5&lt;&gt;"not enrolled", L5="not enrolled", N5="not enrolled")), (H19/1), 0)))</f>
        <v>0</v>
      </c>
      <c r="K19" s="10"/>
      <c r="L19" s="11">
        <f>IF((AND(J5&lt;&gt;"not enrolled", L5&lt;&gt;"not enrolled", N5&lt;&gt;"not enrolled")), (H19/3), IF((AND(J5&lt;&gt;"not enrolled", L5&lt;&gt;"not enrolled", N5="not enrolled")), (H19/2), IF((AND(J5="not enrolled", L5&lt;&gt;"not enrolled", N5&lt;&gt;"not enrolled")), (H19/2), 0)))</f>
        <v>0</v>
      </c>
      <c r="M19" s="11"/>
      <c r="N19" s="11">
        <f>IF((AND(J5&lt;&gt;"not enrolled", L5&lt;&gt;"not enrolled", N5&lt;&gt;"not enrolled")), (H19/3), IF((AND(J5="not enrolled", L5&lt;&gt;"not enrolled", N5&lt;&gt;"not enrolled")), (H19/2), IF((AND(J5="not enrolled", L5="not enrolled", N5&lt;&gt;"not enrolled")), (H19), 0)))</f>
        <v>0</v>
      </c>
      <c r="O19" s="10"/>
    </row>
    <row r="20" spans="2:24" ht="21.75" customHeight="1" x14ac:dyDescent="0.35">
      <c r="B20" t="s">
        <v>47</v>
      </c>
      <c r="F20" s="17"/>
      <c r="H20" s="5">
        <f>SUM(J20,L20,N20)</f>
        <v>0</v>
      </c>
      <c r="J20" s="5">
        <f>IF((AND(J5&lt;&gt;"not enrolled", L5&lt;&gt;"not enrolled", N5&lt;&gt;"not enrolled")), ROUND(((F20-(F20*0.01057))/3),0), IF((AND(J5&lt;&gt;"not enrolled", L5&lt;&gt;"not enrolled", N5="not enrolled")), ROUND(((F20-(F20*0.01057))/2),0), IF((AND(J5&lt;&gt;"not enrolled", L5="not enrolled", N5="not enrolled")), ROUND(((F20-(F20*0.01057))/1),0), 0)))</f>
        <v>0</v>
      </c>
      <c r="L20" s="5">
        <f>IF((AND(J5&lt;&gt;"not enrolled", L5&lt;&gt;"not enrolled", N5&lt;&gt;"not enrolled")), ROUND(((F20-(F20*0.01057))/3),0), IF((AND(J5&lt;&gt;"not enrolled", L5&lt;&gt;"not enrolled", N5="not enrolled")), ROUND(((F20-(F20*0.01057))/2),0), IF((AND(J5="not enrolled", L5&lt;&gt;"not enrolled", N5&lt;&gt;"not enrolled")), ROUND(((F20-(F20*0.01057))/2),0), 0)))</f>
        <v>0</v>
      </c>
      <c r="N20" s="5">
        <f>IF((AND(J5&lt;&gt;"not enrolled", L5&lt;&gt;"not enrolled", N5&lt;&gt;"not enrolled")), ROUND(((F20-(F20*0.01057))/3),0), IF((AND(J5="not enrolled", L5&lt;&gt;"not enrolled", N5&lt;&gt;"not enrolled")), ROUND(((F20-(F20*0.01057))/2),0), IF((AND(J5="not enrolled", L5="not enrolled", N5&lt;&gt;"not enrolled")), ROUND(((F20-(F20*0.01057))/1),0), 0)))</f>
        <v>0</v>
      </c>
      <c r="P20" s="55" t="str">
        <f>IFERROR(IF(SUM($Q$17:$T$17)=0,"",Language!$A$1),"")</f>
        <v/>
      </c>
      <c r="Q20" s="55"/>
      <c r="R20" s="55"/>
      <c r="S20" s="55"/>
      <c r="T20" s="55"/>
      <c r="U20" s="55"/>
      <c r="V20" s="55"/>
      <c r="W20" s="55"/>
      <c r="X20" s="55"/>
    </row>
    <row r="21" spans="2:24" ht="21.75" customHeight="1" x14ac:dyDescent="0.35">
      <c r="B21" s="10" t="s">
        <v>48</v>
      </c>
      <c r="C21" s="10"/>
      <c r="D21" s="10"/>
      <c r="E21" s="10"/>
      <c r="F21" s="17"/>
      <c r="G21" s="10"/>
      <c r="H21" s="11">
        <f>SUM(J21,L21,N21)</f>
        <v>0</v>
      </c>
      <c r="I21" s="10"/>
      <c r="J21" s="11">
        <f>IF((AND(J5&lt;&gt;"not enrolled", L5&lt;&gt;"not enrolled", N5&lt;&gt;"not enrolled")), ROUND(((F21-(F21*0.04228))/3),0), IF((AND(J5&lt;&gt;"not enrolled", L5&lt;&gt;"not enrolled", N5="not enrolled")), ROUND(((F21-(F21*0.04228))/2),0), IF((AND(J5&lt;&gt;"not enrolled", L5="not enrolled", N5="not enrolled")), ROUND(((F21-(F21*0.04228))/1),0), 0)))</f>
        <v>0</v>
      </c>
      <c r="K21" s="10"/>
      <c r="L21" s="11">
        <f>IF((AND(J5&lt;&gt;"not enrolled", L5&lt;&gt;"not enrolled", N5&lt;&gt;"not enrolled")), ROUND(((F21-(F21*0.04228))/3),0), IF((AND(J5&lt;&gt;"not enrolled", L5&lt;&gt;"not enrolled", N5="not enrolled")), ROUND(((F21-(F21*0.04228))/2),0), IF((AND(J5="not enrolled", L5&lt;&gt;"not enrolled", N5&lt;&gt;"not enrolled")), ROUND(((F21-(F21*0.04228))/2),0), 0)))</f>
        <v>0</v>
      </c>
      <c r="M21" s="11"/>
      <c r="N21" s="11">
        <f>IF((AND(J5&lt;&gt;"not enrolled", L5&lt;&gt;"not enrolled", N5&lt;&gt;"not enrolled")), ROUND(((F21-(F21*0.04228))/3),0), IF((AND(J5="not enrolled", L5&lt;&gt;"not enrolled", N5&lt;&gt;"not enrolled")), ROUND(((F21-(F21*0.04228))/2),0), IF((AND(J5="not enrolled", L5="not enrolled", N5&lt;&gt;"not enrolled")), ROUND(((F21-(F21*0.04228))/1),0), 0)))</f>
        <v>0</v>
      </c>
      <c r="O21" s="10"/>
      <c r="P21" s="55"/>
      <c r="Q21" s="55"/>
      <c r="R21" s="55"/>
      <c r="S21" s="55"/>
      <c r="T21" s="55"/>
      <c r="U21" s="55"/>
      <c r="V21" s="55"/>
      <c r="W21" s="55"/>
      <c r="X21" s="55"/>
    </row>
    <row r="22" spans="2:24" ht="21.75" customHeight="1" x14ac:dyDescent="0.35">
      <c r="B22" s="65" t="s">
        <v>18</v>
      </c>
      <c r="C22" s="65"/>
      <c r="D22" s="65"/>
      <c r="E22" s="65"/>
      <c r="F22" s="65"/>
      <c r="H22" s="16"/>
      <c r="J22" s="5">
        <f>IF((AND(J5&lt;&gt;"not enrolled", L5&lt;&gt;"not enrolled", N5&lt;&gt;"not enrolled")), (H22/3), IF((AND(J5&lt;&gt;"not enrolled", L5&lt;&gt;"not enrolled", N5="not enrolled")), (H22/2), IF((AND(J5&lt;&gt;"not enrolled", L5="not enrolled", N5="not enrolled")), (H22/1), 0)))</f>
        <v>0</v>
      </c>
      <c r="L22" s="5">
        <f>IF((AND(J5&lt;&gt;"not enrolled", L5&lt;&gt;"not enrolled", N5&lt;&gt;"not enrolled")), (H22/3), IF((AND(J5&lt;&gt;"not enrolled", L5&lt;&gt;"not enrolled", N5="not enrolled")), (H22/2), IF((AND(J5="not enrolled", L5&lt;&gt;"not enrolled", N5&lt;&gt;"not enrolled")), (H22/2), 0)))</f>
        <v>0</v>
      </c>
      <c r="N22" s="5">
        <f>IF((AND(J5&lt;&gt;"not enrolled", L5&lt;&gt;"not enrolled", N5&lt;&gt;"not enrolled")), (H22/3), IF((AND(J5="not enrolled", L5&lt;&gt;"not enrolled", N5&lt;&gt;"not enrolled")), (H22/2), IF((AND(J5="not enrolled", L5="not enrolled", N5&lt;&gt;"not enrolled")), (H22), 0)))</f>
        <v>0</v>
      </c>
    </row>
    <row r="23" spans="2:24" ht="21.75" customHeight="1" x14ac:dyDescent="0.35">
      <c r="B23" s="67" t="s">
        <v>19</v>
      </c>
      <c r="C23" s="67"/>
      <c r="D23" s="67"/>
      <c r="E23" s="67"/>
      <c r="F23" s="67"/>
      <c r="G23" s="67"/>
      <c r="H23" s="26">
        <f>J23+L23+N23</f>
        <v>0</v>
      </c>
      <c r="I23" s="25"/>
      <c r="J23" s="18"/>
      <c r="K23" s="25"/>
      <c r="L23" s="18"/>
      <c r="M23" s="32"/>
      <c r="N23" s="44"/>
      <c r="O23" s="25"/>
    </row>
    <row r="24" spans="2:24" ht="21.75" customHeight="1" x14ac:dyDescent="0.35">
      <c r="D24" s="7" t="s">
        <v>9</v>
      </c>
      <c r="H24" s="5">
        <f>SUM(H18:H23)</f>
        <v>0</v>
      </c>
      <c r="J24" s="5">
        <f>SUM(J18:J23)</f>
        <v>0</v>
      </c>
      <c r="L24" s="5">
        <f>SUM(L18:L22,L23)</f>
        <v>0</v>
      </c>
      <c r="N24" s="5">
        <f>SUM(N18:N22,N23)</f>
        <v>0</v>
      </c>
    </row>
    <row r="25" spans="2:24" ht="15" thickBot="1" x14ac:dyDescent="0.4"/>
    <row r="26" spans="2:24" ht="21.75" customHeight="1" thickTop="1" thickBot="1" x14ac:dyDescent="0.5">
      <c r="B26" s="14" t="s">
        <v>11</v>
      </c>
      <c r="C26" s="14"/>
      <c r="D26" s="13"/>
      <c r="E26" s="13"/>
      <c r="F26" s="13"/>
      <c r="G26" s="13"/>
      <c r="H26" s="23">
        <f>H15-H24</f>
        <v>0</v>
      </c>
      <c r="I26" s="24"/>
      <c r="J26" s="23">
        <f>J15-J24</f>
        <v>0</v>
      </c>
      <c r="K26" s="24"/>
      <c r="L26" s="23">
        <f>L15-L24</f>
        <v>0</v>
      </c>
      <c r="M26" s="23"/>
      <c r="N26" s="23">
        <f>N15-N24</f>
        <v>0</v>
      </c>
      <c r="O26" s="13"/>
    </row>
    <row r="27" spans="2:24" ht="15" thickTop="1" x14ac:dyDescent="0.35"/>
    <row r="28" spans="2:24" x14ac:dyDescent="0.35">
      <c r="B28" s="7" t="s">
        <v>12</v>
      </c>
      <c r="C28" s="7"/>
    </row>
    <row r="29" spans="2:24" ht="21.75" customHeight="1" x14ac:dyDescent="0.35">
      <c r="B29" s="41">
        <v>1</v>
      </c>
      <c r="C29" t="s">
        <v>60</v>
      </c>
      <c r="D29" s="40"/>
      <c r="E29" s="40"/>
      <c r="F29" s="40"/>
      <c r="G29" s="40"/>
      <c r="H29" s="40"/>
      <c r="I29" s="40"/>
      <c r="J29" s="40"/>
      <c r="K29" s="40"/>
      <c r="L29" s="40"/>
      <c r="M29" s="40"/>
      <c r="N29" s="40"/>
      <c r="O29" s="40"/>
    </row>
    <row r="30" spans="2:24" ht="18" customHeight="1" x14ac:dyDescent="0.35">
      <c r="B30" s="43">
        <v>2</v>
      </c>
      <c r="C30" t="s">
        <v>62</v>
      </c>
      <c r="H30"/>
      <c r="J30"/>
      <c r="L30"/>
      <c r="M30"/>
      <c r="N30"/>
    </row>
    <row r="31" spans="2:24" ht="31.5" customHeight="1" x14ac:dyDescent="0.35">
      <c r="B31" s="42">
        <v>3</v>
      </c>
      <c r="C31" s="66" t="s">
        <v>61</v>
      </c>
      <c r="D31" s="66"/>
      <c r="E31" s="66"/>
      <c r="F31" s="66"/>
      <c r="G31" s="66"/>
      <c r="H31" s="66"/>
      <c r="I31" s="66"/>
      <c r="J31" s="66"/>
      <c r="K31" s="66"/>
      <c r="L31" s="66"/>
      <c r="M31" s="66"/>
      <c r="N31" s="66"/>
      <c r="O31" s="66"/>
    </row>
    <row r="32" spans="2:24" ht="31.5" customHeight="1" x14ac:dyDescent="0.35">
      <c r="B32" s="42">
        <v>4</v>
      </c>
      <c r="C32" s="66" t="s">
        <v>49</v>
      </c>
      <c r="D32" s="66"/>
      <c r="E32" s="66"/>
      <c r="F32" s="66"/>
      <c r="G32" s="66"/>
      <c r="H32" s="66"/>
      <c r="I32" s="66"/>
      <c r="J32" s="66"/>
      <c r="K32" s="66"/>
      <c r="L32" s="66"/>
      <c r="M32" s="66"/>
      <c r="N32" s="66"/>
      <c r="O32" s="66"/>
    </row>
    <row r="33" spans="2:15" ht="63.75" customHeight="1" x14ac:dyDescent="0.35">
      <c r="B33" s="42">
        <v>5</v>
      </c>
      <c r="C33" s="66" t="s">
        <v>63</v>
      </c>
      <c r="D33" s="66"/>
      <c r="E33" s="66"/>
      <c r="F33" s="66"/>
      <c r="G33" s="66"/>
      <c r="H33" s="66"/>
      <c r="I33" s="66"/>
      <c r="J33" s="66"/>
      <c r="K33" s="66"/>
      <c r="L33" s="66"/>
      <c r="M33" s="66"/>
      <c r="N33" s="66"/>
      <c r="O33" s="66"/>
    </row>
    <row r="34" spans="2:15" ht="21.75" customHeight="1" x14ac:dyDescent="0.35"/>
    <row r="36" spans="2:15" x14ac:dyDescent="0.35">
      <c r="B36" s="51" t="s">
        <v>13</v>
      </c>
      <c r="C36" s="51"/>
      <c r="D36" s="51"/>
      <c r="E36" s="51"/>
      <c r="F36" s="51"/>
      <c r="G36" s="51"/>
      <c r="H36" s="51"/>
      <c r="I36" s="51"/>
      <c r="J36" s="51"/>
      <c r="K36" s="51"/>
      <c r="L36" s="51"/>
      <c r="M36" s="51"/>
      <c r="N36" s="51"/>
      <c r="O36" s="51"/>
    </row>
  </sheetData>
  <sheetProtection algorithmName="SHA-512" hashValue="dpIifv4ne6hUKUK8ZDS07qXQM7TzlFrDesSa0m1mNqqdYDYvYsyXM8ZIqUJm9N2xCIouOnXNM6s+BeREOwDLsg==" saltValue="gQoyKhV55Cc9EeSD0m0njg==" spinCount="100000" sheet="1" objects="1" scenarios="1" selectLockedCells="1"/>
  <mergeCells count="11">
    <mergeCell ref="H2:O2"/>
    <mergeCell ref="D9:E9"/>
    <mergeCell ref="B13:E13"/>
    <mergeCell ref="B14:E14"/>
    <mergeCell ref="B22:F22"/>
    <mergeCell ref="P20:X21"/>
    <mergeCell ref="C31:O31"/>
    <mergeCell ref="C32:O32"/>
    <mergeCell ref="C33:O33"/>
    <mergeCell ref="B36:O36"/>
    <mergeCell ref="B23:G23"/>
  </mergeCells>
  <hyperlinks>
    <hyperlink ref="B13" r:id="rId1" display="Will you enroll in DU's health insurance plan?" xr:uid="{E8C3A54E-8DAF-4E6F-8596-631262F7AFED}"/>
    <hyperlink ref="B14" r:id="rId2" display="Will you use DU Health &amp; Counseling Services? " xr:uid="{9B3FAC97-785E-4894-9792-9A27DC7450EC}"/>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2959EB33-CC51-408B-B16E-C29D579194E8}">
          <x14:formula1>
            <xm:f>Data!$G$2:$G$22</xm:f>
          </x14:formula1>
          <xm:sqref>N5 J5 L5</xm:sqref>
        </x14:dataValidation>
        <x14:dataValidation type="list" allowBlank="1" showInputMessage="1" showErrorMessage="1" xr:uid="{A2C8386B-FADD-428A-A3CF-5F9346DA3BE5}">
          <x14:formula1>
            <xm:f>Data!$K$3:$K$4</xm:f>
          </x14:formula1>
          <xm:sqref>F13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0916C-20D1-4B3D-B311-01D6967845B4}">
  <dimension ref="A1"/>
  <sheetViews>
    <sheetView workbookViewId="0"/>
  </sheetViews>
  <sheetFormatPr defaultRowHeight="14.5" x14ac:dyDescent="0.35"/>
  <sheetData>
    <row r="1" spans="1:1" x14ac:dyDescent="0.35">
      <c r="A1" s="68" t="s">
        <v>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9"/>
  <sheetViews>
    <sheetView workbookViewId="0">
      <selection activeCell="L3" sqref="L3"/>
    </sheetView>
  </sheetViews>
  <sheetFormatPr defaultColWidth="8.90625" defaultRowHeight="14.5" x14ac:dyDescent="0.35"/>
  <cols>
    <col min="1" max="1" width="21.90625" bestFit="1" customWidth="1"/>
  </cols>
  <sheetData>
    <row r="1" spans="1:12" x14ac:dyDescent="0.35">
      <c r="A1" s="7" t="s">
        <v>44</v>
      </c>
      <c r="B1" s="7">
        <v>2627</v>
      </c>
      <c r="D1" s="7">
        <v>2526</v>
      </c>
      <c r="E1" s="7">
        <v>2425</v>
      </c>
      <c r="G1" s="7" t="s">
        <v>43</v>
      </c>
    </row>
    <row r="2" spans="1:12" x14ac:dyDescent="0.35">
      <c r="A2" s="7" t="s">
        <v>45</v>
      </c>
      <c r="G2" s="7" t="s">
        <v>45</v>
      </c>
      <c r="K2" t="s">
        <v>17</v>
      </c>
    </row>
    <row r="3" spans="1:12" x14ac:dyDescent="0.35">
      <c r="A3" t="s">
        <v>37</v>
      </c>
      <c r="B3">
        <v>0</v>
      </c>
      <c r="C3">
        <v>0</v>
      </c>
      <c r="D3">
        <v>0</v>
      </c>
      <c r="E3">
        <v>0</v>
      </c>
      <c r="G3" t="s">
        <v>37</v>
      </c>
      <c r="H3">
        <v>0</v>
      </c>
      <c r="I3">
        <v>0</v>
      </c>
      <c r="K3" t="s">
        <v>4</v>
      </c>
      <c r="L3">
        <v>2200</v>
      </c>
    </row>
    <row r="4" spans="1:12" x14ac:dyDescent="0.35">
      <c r="A4" t="s">
        <v>20</v>
      </c>
      <c r="B4">
        <f>4*1535</f>
        <v>6140</v>
      </c>
      <c r="C4">
        <f>8*4</f>
        <v>32</v>
      </c>
      <c r="D4">
        <v>5960</v>
      </c>
      <c r="E4">
        <f>1447*4</f>
        <v>5788</v>
      </c>
      <c r="G4" t="s">
        <v>20</v>
      </c>
      <c r="H4">
        <v>6872</v>
      </c>
      <c r="I4">
        <f>8*4</f>
        <v>32</v>
      </c>
      <c r="K4" t="s">
        <v>5</v>
      </c>
      <c r="L4">
        <v>0</v>
      </c>
    </row>
    <row r="5" spans="1:12" x14ac:dyDescent="0.35">
      <c r="A5" t="s">
        <v>21</v>
      </c>
      <c r="B5">
        <f>B4+1535</f>
        <v>7675</v>
      </c>
      <c r="C5">
        <f>C4+8</f>
        <v>40</v>
      </c>
      <c r="D5">
        <v>7450</v>
      </c>
      <c r="E5">
        <f>E4+1447</f>
        <v>7235</v>
      </c>
      <c r="G5" t="s">
        <v>21</v>
      </c>
      <c r="H5">
        <v>8590</v>
      </c>
      <c r="I5">
        <f>I4+8</f>
        <v>40</v>
      </c>
    </row>
    <row r="6" spans="1:12" x14ac:dyDescent="0.35">
      <c r="A6" t="s">
        <v>22</v>
      </c>
      <c r="B6">
        <f t="shared" ref="B6:B22" si="0">B5+1535</f>
        <v>9210</v>
      </c>
      <c r="C6">
        <f t="shared" ref="C6:C22" si="1">C5+8</f>
        <v>48</v>
      </c>
      <c r="D6">
        <v>8940</v>
      </c>
      <c r="E6">
        <f t="shared" ref="E6:E22" si="2">E5+1447</f>
        <v>8682</v>
      </c>
      <c r="G6" t="s">
        <v>22</v>
      </c>
      <c r="H6">
        <v>10308</v>
      </c>
      <c r="I6">
        <f t="shared" ref="I6:I22" si="3">I5+8</f>
        <v>48</v>
      </c>
    </row>
    <row r="7" spans="1:12" x14ac:dyDescent="0.35">
      <c r="A7" t="s">
        <v>23</v>
      </c>
      <c r="B7">
        <f t="shared" si="0"/>
        <v>10745</v>
      </c>
      <c r="C7">
        <f t="shared" si="1"/>
        <v>56</v>
      </c>
      <c r="D7">
        <v>10430</v>
      </c>
      <c r="E7">
        <f t="shared" si="2"/>
        <v>10129</v>
      </c>
      <c r="G7" t="s">
        <v>23</v>
      </c>
      <c r="H7">
        <v>12026</v>
      </c>
      <c r="I7">
        <f t="shared" si="3"/>
        <v>56</v>
      </c>
    </row>
    <row r="8" spans="1:12" x14ac:dyDescent="0.35">
      <c r="A8" t="s">
        <v>24</v>
      </c>
      <c r="B8">
        <f t="shared" si="0"/>
        <v>12280</v>
      </c>
      <c r="C8">
        <f t="shared" si="1"/>
        <v>64</v>
      </c>
      <c r="D8">
        <v>11920</v>
      </c>
      <c r="E8">
        <f t="shared" si="2"/>
        <v>11576</v>
      </c>
      <c r="G8" t="s">
        <v>24</v>
      </c>
      <c r="H8">
        <v>13744</v>
      </c>
      <c r="I8">
        <f t="shared" si="3"/>
        <v>64</v>
      </c>
    </row>
    <row r="9" spans="1:12" x14ac:dyDescent="0.35">
      <c r="A9" t="s">
        <v>25</v>
      </c>
      <c r="B9">
        <f t="shared" si="0"/>
        <v>13815</v>
      </c>
      <c r="C9">
        <f t="shared" si="1"/>
        <v>72</v>
      </c>
      <c r="D9">
        <v>13410</v>
      </c>
      <c r="E9">
        <f t="shared" si="2"/>
        <v>13023</v>
      </c>
      <c r="G9" t="s">
        <v>25</v>
      </c>
      <c r="H9">
        <v>15462</v>
      </c>
      <c r="I9">
        <f t="shared" si="3"/>
        <v>72</v>
      </c>
    </row>
    <row r="10" spans="1:12" x14ac:dyDescent="0.35">
      <c r="A10" t="s">
        <v>26</v>
      </c>
      <c r="B10">
        <f t="shared" si="0"/>
        <v>15350</v>
      </c>
      <c r="C10">
        <f t="shared" si="1"/>
        <v>80</v>
      </c>
      <c r="D10">
        <v>14900</v>
      </c>
      <c r="E10">
        <f t="shared" si="2"/>
        <v>14470</v>
      </c>
      <c r="G10" t="s">
        <v>26</v>
      </c>
      <c r="H10">
        <v>17180</v>
      </c>
      <c r="I10">
        <f t="shared" si="3"/>
        <v>80</v>
      </c>
    </row>
    <row r="11" spans="1:12" x14ac:dyDescent="0.35">
      <c r="A11" t="s">
        <v>27</v>
      </c>
      <c r="B11">
        <f t="shared" si="0"/>
        <v>16885</v>
      </c>
      <c r="C11">
        <f t="shared" si="1"/>
        <v>88</v>
      </c>
      <c r="D11">
        <v>16390</v>
      </c>
      <c r="E11">
        <f t="shared" si="2"/>
        <v>15917</v>
      </c>
      <c r="G11" t="s">
        <v>27</v>
      </c>
      <c r="H11">
        <v>18898</v>
      </c>
      <c r="I11">
        <f t="shared" si="3"/>
        <v>88</v>
      </c>
    </row>
    <row r="12" spans="1:12" x14ac:dyDescent="0.35">
      <c r="A12" t="s">
        <v>28</v>
      </c>
      <c r="B12">
        <f t="shared" si="0"/>
        <v>18420</v>
      </c>
      <c r="C12">
        <f t="shared" si="1"/>
        <v>96</v>
      </c>
      <c r="D12">
        <v>17880</v>
      </c>
      <c r="E12">
        <f t="shared" si="2"/>
        <v>17364</v>
      </c>
      <c r="G12" t="s">
        <v>28</v>
      </c>
      <c r="H12">
        <v>20616</v>
      </c>
      <c r="I12">
        <f t="shared" si="3"/>
        <v>96</v>
      </c>
    </row>
    <row r="13" spans="1:12" x14ac:dyDescent="0.35">
      <c r="A13" t="s">
        <v>29</v>
      </c>
      <c r="B13">
        <f t="shared" si="0"/>
        <v>19955</v>
      </c>
      <c r="C13">
        <f t="shared" si="1"/>
        <v>104</v>
      </c>
      <c r="D13">
        <v>19370</v>
      </c>
      <c r="E13">
        <f t="shared" si="2"/>
        <v>18811</v>
      </c>
      <c r="G13" t="s">
        <v>29</v>
      </c>
      <c r="H13">
        <v>22334</v>
      </c>
      <c r="I13">
        <f t="shared" si="3"/>
        <v>104</v>
      </c>
    </row>
    <row r="14" spans="1:12" x14ac:dyDescent="0.35">
      <c r="A14" t="s">
        <v>30</v>
      </c>
      <c r="B14">
        <f t="shared" si="0"/>
        <v>21490</v>
      </c>
      <c r="C14">
        <f t="shared" si="1"/>
        <v>112</v>
      </c>
      <c r="D14">
        <v>20860</v>
      </c>
      <c r="E14">
        <f t="shared" si="2"/>
        <v>20258</v>
      </c>
      <c r="G14" t="s">
        <v>30</v>
      </c>
      <c r="H14">
        <v>24052</v>
      </c>
      <c r="I14">
        <f t="shared" si="3"/>
        <v>112</v>
      </c>
    </row>
    <row r="15" spans="1:12" x14ac:dyDescent="0.35">
      <c r="A15" t="s">
        <v>31</v>
      </c>
      <c r="B15">
        <f t="shared" si="0"/>
        <v>23025</v>
      </c>
      <c r="C15">
        <f t="shared" si="1"/>
        <v>120</v>
      </c>
      <c r="D15">
        <v>22350</v>
      </c>
      <c r="E15">
        <f t="shared" si="2"/>
        <v>21705</v>
      </c>
      <c r="G15" t="s">
        <v>31</v>
      </c>
      <c r="H15">
        <v>25770</v>
      </c>
      <c r="I15">
        <f t="shared" si="3"/>
        <v>120</v>
      </c>
    </row>
    <row r="16" spans="1:12" x14ac:dyDescent="0.35">
      <c r="A16" t="s">
        <v>32</v>
      </c>
      <c r="B16">
        <f t="shared" si="0"/>
        <v>24560</v>
      </c>
      <c r="C16">
        <f t="shared" si="1"/>
        <v>128</v>
      </c>
      <c r="D16">
        <v>23840</v>
      </c>
      <c r="E16">
        <f t="shared" si="2"/>
        <v>23152</v>
      </c>
      <c r="G16" t="s">
        <v>32</v>
      </c>
      <c r="H16">
        <v>27448</v>
      </c>
      <c r="I16">
        <f t="shared" si="3"/>
        <v>128</v>
      </c>
    </row>
    <row r="17" spans="1:15" x14ac:dyDescent="0.35">
      <c r="A17" t="s">
        <v>33</v>
      </c>
      <c r="B17">
        <f t="shared" si="0"/>
        <v>26095</v>
      </c>
      <c r="C17">
        <f t="shared" si="1"/>
        <v>136</v>
      </c>
      <c r="D17">
        <v>25330</v>
      </c>
      <c r="E17">
        <f t="shared" si="2"/>
        <v>24599</v>
      </c>
      <c r="G17" t="s">
        <v>33</v>
      </c>
      <c r="H17">
        <v>29206</v>
      </c>
      <c r="I17">
        <f t="shared" si="3"/>
        <v>136</v>
      </c>
    </row>
    <row r="18" spans="1:15" x14ac:dyDescent="0.35">
      <c r="A18" t="s">
        <v>34</v>
      </c>
      <c r="B18">
        <f t="shared" si="0"/>
        <v>27630</v>
      </c>
      <c r="C18">
        <f t="shared" si="1"/>
        <v>144</v>
      </c>
      <c r="D18">
        <v>26820</v>
      </c>
      <c r="E18">
        <f t="shared" si="2"/>
        <v>26046</v>
      </c>
      <c r="G18" t="s">
        <v>34</v>
      </c>
      <c r="H18">
        <v>30924</v>
      </c>
      <c r="I18">
        <f t="shared" si="3"/>
        <v>144</v>
      </c>
    </row>
    <row r="19" spans="1:15" x14ac:dyDescent="0.35">
      <c r="A19" t="s">
        <v>35</v>
      </c>
      <c r="B19">
        <f t="shared" si="0"/>
        <v>29165</v>
      </c>
      <c r="C19">
        <f t="shared" si="1"/>
        <v>152</v>
      </c>
      <c r="D19">
        <v>28310</v>
      </c>
      <c r="E19">
        <f t="shared" si="2"/>
        <v>27493</v>
      </c>
      <c r="G19" t="s">
        <v>35</v>
      </c>
      <c r="H19">
        <v>32642</v>
      </c>
      <c r="I19">
        <f t="shared" si="3"/>
        <v>152</v>
      </c>
    </row>
    <row r="20" spans="1:15" x14ac:dyDescent="0.35">
      <c r="A20" t="s">
        <v>36</v>
      </c>
      <c r="B20">
        <f t="shared" si="0"/>
        <v>30700</v>
      </c>
      <c r="C20">
        <f t="shared" si="1"/>
        <v>160</v>
      </c>
      <c r="D20">
        <v>29800</v>
      </c>
      <c r="E20">
        <f t="shared" si="2"/>
        <v>28940</v>
      </c>
      <c r="G20" t="s">
        <v>36</v>
      </c>
      <c r="H20">
        <v>34360</v>
      </c>
      <c r="I20">
        <f t="shared" si="3"/>
        <v>160</v>
      </c>
    </row>
    <row r="21" spans="1:15" x14ac:dyDescent="0.35">
      <c r="A21" t="s">
        <v>38</v>
      </c>
      <c r="B21">
        <f t="shared" si="0"/>
        <v>32235</v>
      </c>
      <c r="C21">
        <f t="shared" si="1"/>
        <v>168</v>
      </c>
      <c r="D21">
        <v>31290</v>
      </c>
      <c r="E21">
        <f t="shared" si="2"/>
        <v>30387</v>
      </c>
      <c r="G21" t="s">
        <v>38</v>
      </c>
      <c r="H21">
        <v>36078</v>
      </c>
      <c r="I21">
        <f t="shared" si="3"/>
        <v>168</v>
      </c>
    </row>
    <row r="22" spans="1:15" x14ac:dyDescent="0.35">
      <c r="A22" t="s">
        <v>39</v>
      </c>
      <c r="B22">
        <f t="shared" si="0"/>
        <v>33770</v>
      </c>
      <c r="C22">
        <f t="shared" si="1"/>
        <v>176</v>
      </c>
      <c r="D22">
        <v>32780</v>
      </c>
      <c r="E22">
        <f t="shared" si="2"/>
        <v>31834</v>
      </c>
      <c r="G22" t="s">
        <v>39</v>
      </c>
      <c r="H22">
        <v>37796</v>
      </c>
      <c r="I22">
        <f t="shared" si="3"/>
        <v>176</v>
      </c>
    </row>
    <row r="25" spans="1:15" x14ac:dyDescent="0.35">
      <c r="A25" t="s">
        <v>65</v>
      </c>
    </row>
    <row r="26" spans="1:15" x14ac:dyDescent="0.35">
      <c r="A26" s="66" t="s">
        <v>66</v>
      </c>
      <c r="B26" s="66"/>
      <c r="C26" s="66"/>
      <c r="D26" s="66"/>
      <c r="E26" s="66"/>
      <c r="F26" s="66"/>
      <c r="G26" s="66"/>
      <c r="H26" s="66"/>
      <c r="I26" s="66"/>
      <c r="J26" s="66"/>
      <c r="K26" s="66"/>
      <c r="L26" s="66"/>
      <c r="M26" s="66"/>
      <c r="N26" s="66"/>
      <c r="O26" s="66"/>
    </row>
    <row r="27" spans="1:15" x14ac:dyDescent="0.35">
      <c r="A27" s="66" t="s">
        <v>67</v>
      </c>
      <c r="B27" s="66"/>
      <c r="C27" s="66"/>
      <c r="D27" s="66"/>
      <c r="E27" s="66"/>
      <c r="F27" s="66"/>
      <c r="G27" s="66"/>
      <c r="H27" s="66"/>
      <c r="I27" s="66"/>
      <c r="J27" s="66"/>
      <c r="K27" s="66"/>
      <c r="L27" s="66"/>
      <c r="M27" s="66"/>
      <c r="N27" s="66"/>
      <c r="O27" s="66"/>
    </row>
    <row r="28" spans="1:15" x14ac:dyDescent="0.35">
      <c r="A28" s="66"/>
      <c r="B28" s="66"/>
      <c r="C28" s="66"/>
      <c r="D28" s="66"/>
      <c r="E28" s="66"/>
      <c r="F28" s="66"/>
      <c r="G28" s="66"/>
      <c r="H28" s="66"/>
      <c r="I28" s="66"/>
      <c r="J28" s="66"/>
      <c r="K28" s="66"/>
      <c r="L28" s="66"/>
      <c r="M28" s="66"/>
      <c r="N28" s="66"/>
      <c r="O28" s="66"/>
    </row>
    <row r="29" spans="1:15" x14ac:dyDescent="0.35">
      <c r="A29" s="66"/>
      <c r="B29" s="66"/>
      <c r="C29" s="66"/>
      <c r="D29" s="66"/>
      <c r="E29" s="66"/>
      <c r="F29" s="66"/>
      <c r="G29" s="66"/>
      <c r="H29" s="66"/>
      <c r="I29" s="66"/>
      <c r="J29" s="66"/>
      <c r="K29" s="66"/>
      <c r="L29" s="66"/>
      <c r="M29" s="66"/>
      <c r="N29" s="66"/>
      <c r="O29" s="66"/>
    </row>
  </sheetData>
  <sheetProtection algorithmName="SHA-512" hashValue="/9cD2a/9ghJx7emlVSXnMQo1m5pt/y1b1DL41YvbHnuKwMJCLSXqTOtB8oJB2ZsjXX3tCd+gUD9ffCPde+yCsA==" saltValue="j0qCW9yA0Tu80RbFy/TteA==" spinCount="100000" sheet="1" scenarios="1" selectLockedCells="1" selectUnlockedCells="1"/>
  <mergeCells count="4">
    <mergeCell ref="A26:O26"/>
    <mergeCell ref="A27:O27"/>
    <mergeCell ref="A28:O28"/>
    <mergeCell ref="A29:O2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Worksheets Home</vt:lpstr>
      <vt:lpstr>Master's</vt:lpstr>
      <vt:lpstr>Doctoral</vt:lpstr>
      <vt:lpstr>Language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2026-06-03T22:03:11Z</dcterms:modified>
</cp:coreProperties>
</file>