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mc:AlternateContent xmlns:mc="http://schemas.openxmlformats.org/markup-compatibility/2006">
    <mc:Choice Requires="x15">
      <x15ac:absPath xmlns:x15ac="http://schemas.microsoft.com/office/spreadsheetml/2010/11/ac" url="R:\Financial Aid\Communication\2627\Billing Worksheets\"/>
    </mc:Choice>
  </mc:AlternateContent>
  <xr:revisionPtr revIDLastSave="0" documentId="13_ncr:1_{15984FDE-C290-45C1-87E1-FF715AEA9BC1}" xr6:coauthVersionLast="47" xr6:coauthVersionMax="47" xr10:uidLastSave="{00000000-0000-0000-0000-000000000000}"/>
  <workbookProtection workbookAlgorithmName="SHA-512" workbookHashValue="1lS4sV/pFd5GImCu1DUj1XApUkKAokubV3yB3LNv3LLmJ8pxnvSCsWXd/SmgUN2ehqxP9axHcCtgs69Pk1zG9w==" workbookSaltValue="wQxxPgyV85hE8NVlwCzpkA==" workbookSpinCount="100000" lockStructure="1"/>
  <bookViews>
    <workbookView xWindow="28680" yWindow="-120" windowWidth="29040" windowHeight="15720" tabRatio="721" xr2:uid="{00000000-000D-0000-FFFF-FFFF00000000}"/>
  </bookViews>
  <sheets>
    <sheet name="Worksheets Home" sheetId="4" r:id="rId1"/>
    <sheet name="PSM Bio, MA Phys" sheetId="1" r:id="rId2"/>
    <sheet name="Online GIS" sheetId="25" r:id="rId3"/>
    <sheet name="Most Programs" sheetId="24" r:id="rId4"/>
    <sheet name="Language" sheetId="26" state="hidden" r:id="rId5"/>
    <sheet name="Data" sheetId="2" state="hidden" r:id="rId6"/>
  </sheets>
  <definedNames>
    <definedName name="Credits">Data!$A$6:$A$22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8" i="24" l="1"/>
  <c r="S8" i="24"/>
  <c r="R8" i="24"/>
  <c r="Q8" i="24"/>
  <c r="Q18" i="24" s="1"/>
  <c r="T7" i="25"/>
  <c r="T13" i="25" s="1"/>
  <c r="S7" i="25"/>
  <c r="S13" i="25" s="1"/>
  <c r="R7" i="25"/>
  <c r="R13" i="25" s="1"/>
  <c r="Q7" i="25"/>
  <c r="Q13" i="25" s="1"/>
  <c r="S8" i="1"/>
  <c r="S18" i="1" s="1"/>
  <c r="R8" i="1"/>
  <c r="R18" i="1" s="1"/>
  <c r="Q8" i="1"/>
  <c r="Q18" i="1" s="1"/>
  <c r="N15" i="1"/>
  <c r="L15" i="1"/>
  <c r="J15" i="1"/>
  <c r="N15" i="24"/>
  <c r="L15" i="24"/>
  <c r="J15" i="24"/>
  <c r="R18" i="24" l="1"/>
  <c r="P21" i="24" s="1"/>
  <c r="P16" i="25"/>
  <c r="P21" i="1"/>
  <c r="D19" i="2"/>
  <c r="D20" i="2" s="1"/>
  <c r="D21" i="2" s="1"/>
  <c r="D22" i="2" s="1"/>
  <c r="D12" i="2"/>
  <c r="D6" i="2"/>
  <c r="D7" i="2" s="1"/>
  <c r="D8" i="2" s="1"/>
  <c r="D9" i="2" s="1"/>
  <c r="D10" i="2" s="1"/>
  <c r="D11" i="2" s="1"/>
  <c r="D5" i="2"/>
  <c r="D4" i="2"/>
  <c r="O10" i="25"/>
  <c r="M10" i="25"/>
  <c r="K10" i="25"/>
  <c r="I10" i="25"/>
  <c r="O9" i="25"/>
  <c r="M9" i="25"/>
  <c r="K9" i="25"/>
  <c r="I9" i="25"/>
  <c r="G19" i="25"/>
  <c r="O18" i="25"/>
  <c r="M18" i="25"/>
  <c r="K18" i="25"/>
  <c r="I18" i="25"/>
  <c r="O17" i="25"/>
  <c r="M17" i="25"/>
  <c r="K17" i="25"/>
  <c r="I17" i="25"/>
  <c r="O16" i="25"/>
  <c r="M16" i="25"/>
  <c r="K16" i="25"/>
  <c r="I16" i="25"/>
  <c r="O15" i="25"/>
  <c r="M15" i="25"/>
  <c r="K15" i="25"/>
  <c r="I15" i="25"/>
  <c r="O14" i="25"/>
  <c r="M14" i="25"/>
  <c r="K14" i="25"/>
  <c r="I14" i="25"/>
  <c r="N10" i="24"/>
  <c r="L10" i="24"/>
  <c r="J10" i="24"/>
  <c r="H24" i="24"/>
  <c r="N23" i="24"/>
  <c r="L23" i="24"/>
  <c r="J23" i="24"/>
  <c r="N22" i="24"/>
  <c r="L22" i="24"/>
  <c r="J22" i="24"/>
  <c r="N21" i="24"/>
  <c r="L21" i="24"/>
  <c r="J21" i="24"/>
  <c r="N20" i="24"/>
  <c r="L20" i="24"/>
  <c r="J20" i="24"/>
  <c r="N19" i="24"/>
  <c r="L19" i="24"/>
  <c r="J19" i="24"/>
  <c r="N14" i="24"/>
  <c r="J14" i="24"/>
  <c r="H14" i="24" s="1"/>
  <c r="N13" i="24"/>
  <c r="L13" i="24"/>
  <c r="J13" i="24"/>
  <c r="N12" i="24"/>
  <c r="L12" i="24"/>
  <c r="J12" i="24"/>
  <c r="N13" i="1"/>
  <c r="L13" i="1"/>
  <c r="J13" i="1"/>
  <c r="O20" i="25" l="1"/>
  <c r="O11" i="25"/>
  <c r="I20" i="25"/>
  <c r="G16" i="25"/>
  <c r="I11" i="25"/>
  <c r="G9" i="25"/>
  <c r="K11" i="25"/>
  <c r="K20" i="25"/>
  <c r="M11" i="25"/>
  <c r="M20" i="25"/>
  <c r="G10" i="25"/>
  <c r="G17" i="25"/>
  <c r="H15" i="24"/>
  <c r="H21" i="24"/>
  <c r="N16" i="24"/>
  <c r="H22" i="24"/>
  <c r="H12" i="24"/>
  <c r="H13" i="24"/>
  <c r="J25" i="24"/>
  <c r="L25" i="24"/>
  <c r="N25" i="24"/>
  <c r="L16" i="24"/>
  <c r="H10" i="24"/>
  <c r="J16" i="24"/>
  <c r="N27" i="24" l="1"/>
  <c r="H25" i="24"/>
  <c r="O22" i="25"/>
  <c r="G20" i="25"/>
  <c r="I22" i="25"/>
  <c r="M22" i="25"/>
  <c r="K22" i="25"/>
  <c r="G11" i="25"/>
  <c r="L27" i="24"/>
  <c r="H16" i="24"/>
  <c r="J27" i="24"/>
  <c r="H27" i="24" l="1"/>
  <c r="G22" i="25"/>
  <c r="N12" i="1" l="1"/>
  <c r="L12" i="1"/>
  <c r="J12" i="1"/>
  <c r="N10" i="1"/>
  <c r="L10" i="1"/>
  <c r="J10" i="1"/>
  <c r="N22" i="1" l="1"/>
  <c r="L22" i="1"/>
  <c r="J22" i="1"/>
  <c r="N21" i="1"/>
  <c r="L21" i="1"/>
  <c r="J21" i="1"/>
  <c r="H24" i="1" l="1"/>
  <c r="N23" i="1"/>
  <c r="L23" i="1"/>
  <c r="J23" i="1"/>
  <c r="N20" i="1"/>
  <c r="L20" i="1"/>
  <c r="J20" i="1"/>
  <c r="N19" i="1"/>
  <c r="L19" i="1"/>
  <c r="J19" i="1"/>
  <c r="N14" i="1"/>
  <c r="J14" i="1"/>
  <c r="H12" i="1"/>
  <c r="H22" i="1" l="1"/>
  <c r="N25" i="1"/>
  <c r="H21" i="1"/>
  <c r="J25" i="1"/>
  <c r="L25" i="1"/>
  <c r="J16" i="1"/>
  <c r="L16" i="1"/>
  <c r="H14" i="1"/>
  <c r="H15" i="1"/>
  <c r="H13" i="1"/>
  <c r="N16" i="1"/>
  <c r="H10" i="1"/>
  <c r="H25" i="1" l="1"/>
  <c r="N27" i="1"/>
  <c r="L27" i="1"/>
  <c r="J27" i="1"/>
  <c r="H16" i="1"/>
  <c r="H27" i="1" l="1"/>
</calcChain>
</file>

<file path=xl/sharedStrings.xml><?xml version="1.0" encoding="utf-8"?>
<sst xmlns="http://schemas.openxmlformats.org/spreadsheetml/2006/main" count="154" uniqueCount="81">
  <si>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</si>
  <si>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</si>
  <si>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</si>
  <si>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</si>
  <si>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</si>
  <si>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</si>
  <si>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</si>
  <si>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</si>
  <si>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</si>
  <si>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</si>
  <si>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</si>
  <si>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</si>
  <si>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</si>
  <si>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</si>
  <si>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</si>
  <si>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</si>
  <si>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</si>
  <si>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</si>
  <si>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</si>
  <si>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Flat-Rate</t>
  </si>
  <si>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</si>
  <si>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</si>
  <si>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</si>
  <si>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</si>
  <si>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</si>
  <si>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</si>
  <si>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</si>
  <si>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</si>
  <si>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</si>
  <si>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</si>
  <si>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</si>
  <si>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</si>
  <si>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</si>
  <si>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</si>
  <si>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</si>
  <si>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</si>
  <si>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</si>
  <si>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</si>
  <si>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</si>
  <si>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</si>
  <si>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</si>
  <si>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21 credits</t>
  </si>
  <si>
    <t>22 credits</t>
  </si>
  <si>
    <t>Will you enroll in DU's Health Insurance Plan?</t>
  </si>
  <si>
    <t>Choose Your Program:</t>
  </si>
  <si>
    <t>All other programs</t>
  </si>
  <si>
    <t>select</t>
  </si>
  <si>
    <t>This worksheet automatically deducts the 1.057% origination fee from the Direct Unsubsidized loan amount. Most students who submit the FAFSA are eligible to borrow up to $20,500 in an unsubsidized loan per academic year.</t>
  </si>
  <si>
    <r>
      <t>DU Health &amp; Counseling Fee</t>
    </r>
    <r>
      <rPr>
        <u/>
        <vertAlign val="superscript"/>
        <sz val="11"/>
        <color theme="10"/>
        <rFont val="Calibri"/>
        <family val="2"/>
        <scheme val="minor"/>
      </rPr>
      <t>3</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</si>
  <si>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</si>
  <si>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</si>
  <si>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How many credits will you take each quarter?</t>
  </si>
  <si>
    <t>Other Assistance</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</si>
  <si>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</si>
  <si>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t>PSM in Biomedical Sciences or MS in Clinical Exercise Physiology</t>
  </si>
  <si>
    <t>Online MS in Geographic Information Science</t>
  </si>
  <si>
    <t>$1,718/cr</t>
  </si>
  <si>
    <t>$859/cr</t>
  </si>
  <si>
    <r>
      <t xml:space="preserve">2026-27 Estimated Billing Worksheets
</t>
    </r>
    <r>
      <rPr>
        <b/>
        <i/>
        <sz val="16"/>
        <color theme="1"/>
        <rFont val="Calibri"/>
        <family val="2"/>
        <scheme val="minor"/>
      </rPr>
      <t>Natural Sciences &amp; Mathematics</t>
    </r>
  </si>
  <si>
    <t>2026-27 Estimated Billing Worksheet
Most Programs</t>
  </si>
  <si>
    <t>FALL 2026:</t>
  </si>
  <si>
    <t>WINTER 2027:</t>
  </si>
  <si>
    <t>SPRING 2027:</t>
  </si>
  <si>
    <t>FALL 2026</t>
  </si>
  <si>
    <t>WINTER 2027</t>
  </si>
  <si>
    <t>SPRING 2027</t>
  </si>
  <si>
    <t>Tuition for the 2026-2027 academic year is $1,718 per credit.</t>
  </si>
  <si>
    <t>Technology fees are $8 per credit. If you will be enrolled in less than 4 credits, you will not be eligible for federal student loans.</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</si>
  <si>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of 2024 or later and are enrolled
in 8 or more credits. Students who started prior to fall 2024 can waive this fee (just delete the amount in these fields if you plan to waive it).</t>
    </r>
  </si>
  <si>
    <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</si>
  <si>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Online MS in Geographic Information Science</t>
  </si>
  <si>
    <t>SUMMER 2027:</t>
  </si>
  <si>
    <t>SUMMER 2027</t>
  </si>
  <si>
    <r>
      <t>1</t>
    </r>
    <r>
      <rPr>
        <sz val="11"/>
        <color theme="1"/>
        <rFont val="Calibri"/>
        <family val="2"/>
        <scheme val="minor"/>
      </rPr>
      <t>Tuition for the 2026-2027 academic year is $859 per credit.</t>
    </r>
  </si>
  <si>
    <r>
      <rPr>
        <vertAlign val="superscript"/>
        <sz val="11"/>
        <color theme="1"/>
        <rFont val="Calibri"/>
        <family val="2"/>
        <scheme val="minor"/>
      </rPr>
      <t>2</t>
    </r>
    <r>
      <rPr>
        <sz val="11"/>
        <color theme="1"/>
        <rFont val="Calibri"/>
        <family val="2"/>
        <scheme val="minor"/>
      </rPr>
      <t>Technology fees are $8 per credit. If you will be enrolled in less than 4 credits, you will not be eligible for federal student loans.</t>
    </r>
  </si>
  <si>
    <r>
      <rPr>
        <vertAlign val="superscript"/>
        <sz val="11"/>
        <color theme="1"/>
        <rFont val="Calibri"/>
        <family val="2"/>
        <scheme val="minor"/>
      </rPr>
      <t>4</t>
    </r>
    <r>
      <rPr>
        <sz val="11"/>
        <color theme="1"/>
        <rFont val="Calibri"/>
        <family val="2"/>
        <scheme val="minor"/>
      </rPr>
      <t xml:space="preserve">Effective July 1, 2026, the Direct Graduate PLUS loan application process will be limited to existing borrowers who are eligible to apply under the legacy loan provision.  The Graduate PLUS Loan will be included on the initial aid offer for all eligible borrowers; however, financing is not guaranteed. Applicants must be credit approved by the Department of Education before funds can be disbursed.  This worksheet automatically deducts the 4.228% origination fee from the total amount.  Learn more about federal policy changes that affect graduate students at </t>
    </r>
    <r>
      <rPr>
        <b/>
        <sz val="11"/>
        <color theme="1"/>
        <rFont val="Calibri"/>
        <family val="2"/>
        <scheme val="minor"/>
      </rPr>
      <t>www.du.edu/federal-updates</t>
    </r>
    <r>
      <rPr>
        <sz val="11"/>
        <color theme="1"/>
        <rFont val="Calibri"/>
        <family val="2"/>
        <scheme val="minor"/>
      </rPr>
      <t xml:space="preserve">.  </t>
    </r>
  </si>
  <si>
    <t>2026-27 Estimated Billing Worksheet
PSM in Biomedical Sciences or MS in Physiology</t>
  </si>
  <si>
    <t>Tuition for the 2026-2027 academic year is $859 per credit.</t>
  </si>
  <si>
    <r>
      <t xml:space="preserve">The Health and Counseling Fee is $258 per quarter, and is </t>
    </r>
    <r>
      <rPr>
        <i/>
        <sz val="11"/>
        <color theme="1"/>
        <rFont val="Calibri"/>
        <family val="2"/>
        <scheme val="minor"/>
      </rPr>
      <t>mandatory</t>
    </r>
    <r>
      <rPr>
        <sz val="11"/>
        <color theme="1"/>
        <rFont val="Calibri"/>
        <family val="2"/>
        <scheme val="minor"/>
      </rPr>
      <t xml:space="preserve"> for students who started their program in fall 2024 or later and are enrolled
in 8 or more credits. Students who started prior to fall 2024 can waive this fee (just delete the amount in these fields if you plan to waive it).</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</si>
  <si>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2026-2027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or credits may be included on your actual bill. </t>
    </r>
  </si>
  <si>
    <t>If you plan to be enrolled less than full time in any term, your maximun loan eligibility for your Unsubsidized and/or Graduate PLUS will be adjusted so that it's proportional with your enrollment each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</si>
</sst>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i/>
      <sz val="14"/>
      <color rgb="FF98002E"/>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u/>
      <vertAlign val="superscript"/>
      <sz val="11"/>
      <color theme="10"/>
      <name val="Calibri"/>
      <family val="2"/>
      <scheme val="minor"/>
    </font>
    <font>
      <i/>
      <sz val="11"/>
      <color theme="1"/>
      <name val="Calibri"/>
      <family val="2"/>
      <scheme val="minor"/>
    </font>
    <font>
      <sz val="11"/>
      <color rgb="FFFF0000"/>
      <name val="Calibri"/>
      <family val="2"/>
      <scheme val="minor"/>
    </font>
    <font>
      <sz val="11"/>
      <color theme="0"/>
      <name val="Calibri"/>
      <family val="2"/>
      <scheme val="minor"/>
    </font>
    <font>
      <sz val="11"/>
      <color rgb="FF000000"/>
      <name val="Aptos"/>
      <family val="2"/>
    </font>
  </fonts>
  <fills count="5">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4" tint="0.59996337778862885"/>
        <bgColor indexed="64"/>
      </patternFill>
    </fill>
  </fills>
  <borders count="12">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style="dashed">
        <color indexed="64"/>
      </top>
      <bottom style="thin">
        <color indexed="64"/>
      </bottom>
      <diagonal/>
    </border>
    <border>
      <left/>
      <right/>
      <top/>
      <bottom style="dashed">
        <color indexed="64"/>
      </bottom>
      <diagonal/>
    </border>
  </borders>
  <cellStyleXfs count="3">
    <xf numFmtId="0" fontId="0" fillId="0" borderId="0"/>
    <xf numFmtId="44" fontId="1" fillId="0" borderId="0" applyFont="0" applyFill="0" applyBorder="0" applyAlignment="0" applyProtection="0"/>
    <xf numFmtId="0" fontId="13" fillId="0" borderId="0" applyNumberFormat="0" applyFill="0" applyBorder="0" applyAlignment="0" applyProtection="0"/>
  </cellStyleXfs>
  <cellXfs count="74">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6" fillId="0" borderId="0" xfId="0" applyFont="1" applyAlignment="1">
      <alignment horizontal="left"/>
    </xf>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7"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10" fillId="0" borderId="7" xfId="1" applyFont="1" applyBorder="1"/>
    <xf numFmtId="0" fontId="10"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0" fontId="0" fillId="0" borderId="3" xfId="0" applyBorder="1"/>
    <xf numFmtId="44" fontId="0" fillId="0" borderId="3" xfId="1" applyFont="1" applyFill="1" applyBorder="1"/>
    <xf numFmtId="44" fontId="0" fillId="3" borderId="3" xfId="1" applyFont="1" applyFill="1" applyBorder="1" applyProtection="1">
      <protection locked="0"/>
    </xf>
    <xf numFmtId="0" fontId="0" fillId="0" borderId="0" xfId="0" applyAlignment="1">
      <alignment horizontal="left" indent="2"/>
    </xf>
    <xf numFmtId="0" fontId="13" fillId="0" borderId="0" xfId="2" applyAlignment="1" applyProtection="1">
      <alignment horizontal="left" indent="5"/>
      <protection locked="0"/>
    </xf>
    <xf numFmtId="0" fontId="0" fillId="0" borderId="0" xfId="0" applyAlignment="1">
      <alignment horizontal="left"/>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0" fillId="0" borderId="0" xfId="0" applyAlignment="1">
      <alignment wrapText="1"/>
    </xf>
    <xf numFmtId="0" fontId="5" fillId="0" borderId="0" xfId="0" applyFont="1"/>
    <xf numFmtId="0" fontId="5" fillId="0" borderId="0" xfId="0" applyFont="1" applyAlignment="1">
      <alignment horizontal="right" vertical="top"/>
    </xf>
    <xf numFmtId="0" fontId="5" fillId="0" borderId="0" xfId="0" applyFont="1" applyAlignment="1">
      <alignment horizontal="right"/>
    </xf>
    <xf numFmtId="44" fontId="0" fillId="2" borderId="9" xfId="1" applyFont="1" applyFill="1" applyBorder="1" applyProtection="1">
      <protection locked="0"/>
    </xf>
    <xf numFmtId="0" fontId="13" fillId="0" borderId="0" xfId="2" applyAlignment="1" applyProtection="1">
      <alignment horizontal="left" indent="5"/>
    </xf>
    <xf numFmtId="44" fontId="0" fillId="4" borderId="9" xfId="1" applyFont="1" applyFill="1" applyBorder="1" applyProtection="1">
      <protection locked="0"/>
    </xf>
    <xf numFmtId="0" fontId="0" fillId="0" borderId="10" xfId="0" applyBorder="1"/>
    <xf numFmtId="44" fontId="2" fillId="0" borderId="11" xfId="1" applyFont="1" applyBorder="1" applyAlignment="1">
      <alignment horizontal="center"/>
    </xf>
    <xf numFmtId="44" fontId="0" fillId="0" borderId="0" xfId="1" applyFont="1" applyBorder="1"/>
    <xf numFmtId="0" fontId="11"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0" fillId="0" borderId="0" xfId="1" applyFont="1" applyFill="1" applyBorder="1"/>
    <xf numFmtId="0" fontId="2" fillId="0" borderId="1" xfId="0" applyFont="1" applyBorder="1"/>
    <xf numFmtId="44" fontId="2" fillId="0" borderId="1" xfId="1" applyFont="1" applyBorder="1"/>
    <xf numFmtId="44" fontId="0" fillId="3" borderId="3" xfId="1" applyFont="1" applyFill="1" applyBorder="1" applyProtection="1"/>
    <xf numFmtId="44" fontId="0" fillId="0" borderId="0" xfId="1" applyFont="1" applyProtection="1"/>
    <xf numFmtId="0" fontId="14" fillId="0" borderId="0" xfId="0" applyFont="1" applyAlignment="1">
      <alignment horizontal="left" vertical="top" indent="3"/>
    </xf>
    <xf numFmtId="0" fontId="18" fillId="0" borderId="0" xfId="0" applyFont="1" applyAlignment="1">
      <alignment horizontal="center"/>
    </xf>
    <xf numFmtId="0" fontId="0" fillId="0" borderId="1" xfId="0" applyBorder="1" applyAlignment="1" applyProtection="1">
      <alignment horizontal="center"/>
      <protection locked="0"/>
    </xf>
    <xf numFmtId="0" fontId="3" fillId="0" borderId="3" xfId="0" applyFont="1" applyBorder="1" applyAlignment="1">
      <alignment horizontal="right" wrapText="1"/>
    </xf>
    <xf numFmtId="0" fontId="3" fillId="0" borderId="3" xfId="0" applyFont="1" applyBorder="1" applyAlignment="1">
      <alignment horizontal="right"/>
    </xf>
    <xf numFmtId="0" fontId="11" fillId="0" borderId="0" xfId="0" applyFont="1" applyAlignment="1">
      <alignment horizontal="left" vertical="center" wrapText="1"/>
    </xf>
    <xf numFmtId="0" fontId="17" fillId="0" borderId="0" xfId="0" applyFont="1" applyAlignment="1">
      <alignment horizontal="left" vertical="center" wrapText="1"/>
    </xf>
    <xf numFmtId="0" fontId="3" fillId="0" borderId="3" xfId="0" applyFont="1" applyBorder="1" applyAlignment="1">
      <alignment horizontal="right" vertical="top" wrapText="1"/>
    </xf>
    <xf numFmtId="0" fontId="0" fillId="3" borderId="0" xfId="0" applyFill="1" applyAlignment="1">
      <alignment horizontal="center"/>
    </xf>
    <xf numFmtId="0" fontId="0" fillId="0" borderId="1" xfId="0" applyBorder="1" applyAlignment="1">
      <alignment horizontal="center"/>
    </xf>
    <xf numFmtId="0" fontId="13" fillId="3" borderId="0" xfId="2" applyFill="1" applyBorder="1" applyAlignment="1">
      <alignment horizontal="left"/>
    </xf>
    <xf numFmtId="0" fontId="13" fillId="3" borderId="8" xfId="2" applyFill="1" applyBorder="1" applyAlignment="1">
      <alignment horizontal="left"/>
    </xf>
    <xf numFmtId="0" fontId="13"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5" fillId="0" borderId="0" xfId="0" applyFont="1" applyAlignment="1">
      <alignment horizontal="left" wrapText="1"/>
    </xf>
    <xf numFmtId="0" fontId="19" fillId="0" borderId="0" xfId="0" applyFont="1"/>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1932477</xdr:colOff>
      <xdr:row>1</xdr:row>
      <xdr:rowOff>552450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932477" cy="44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324503</xdr:colOff>
      <xdr:row>1</xdr:row>
      <xdr:rowOff>478155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276223</xdr:colOff>
      <xdr:row>1</xdr:row>
      <xdr:rowOff>108070</xdr:rowOff>
    </xdr:from>
    <xdr:to>
      <xdr:col>3</xdr:col>
      <xdr:colOff>749933</xdr:colOff>
      <xdr:row>1</xdr:row>
      <xdr:rowOff>559301</xdr:rowOff>
    </xdr:to>
    <xdr:pic>
      <xdr:nvPicPr>
        <xdr:cNvPr id="3" name="Picture 2">
          <a:extLst>
            <a:ext uri="{FF2B5EF4-FFF2-40B4-BE49-F238E27FC236}">
              <a16:creationId xmlns:a16="http://schemas.microsoft.com/office/drawing/2014/main" id="{6E4DD586-8F4F-459A-A26B-F313535D7BC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3" y="298570"/>
          <a:ext cx="1920240" cy="4480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106967</xdr:rowOff>
    </xdr:from>
    <xdr:to>
      <xdr:col>4</xdr:col>
      <xdr:colOff>324503</xdr:colOff>
      <xdr:row>1</xdr:row>
      <xdr:rowOff>478155</xdr:rowOff>
    </xdr:to>
    <xdr:pic>
      <xdr:nvPicPr>
        <xdr:cNvPr id="2" name="Picture 1">
          <a:extLst>
            <a:ext uri="{FF2B5EF4-FFF2-40B4-BE49-F238E27FC236}">
              <a16:creationId xmlns:a16="http://schemas.microsoft.com/office/drawing/2014/main" id="{BC3063D4-1C4B-4B05-95F9-B5426DABA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6042"/>
          <a:ext cx="1635143" cy="3788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D17"/>
  <sheetViews>
    <sheetView showGridLines="0" showRowColHeaders="0" tabSelected="1" showRuler="0" zoomScaleNormal="100" workbookViewId="0">
      <selection activeCell="B7" sqref="B7"/>
    </sheetView>
  </sheetViews>
  <sheetFormatPr defaultColWidth="8.90625" defaultRowHeight="14.5" x14ac:dyDescent="0.35"/>
  <cols>
    <col min="1" max="1" width="4.08984375" customWidth="1"/>
    <col min="2" max="2" width="74.90625" customWidth="1"/>
    <col min="3" max="3" width="12.90625" style="5" customWidth="1"/>
    <col min="4" max="4" width="26.453125" customWidth="1"/>
  </cols>
  <sheetData>
    <row r="1" spans="2:4" ht="17.25" customHeight="1" x14ac:dyDescent="0.35">
      <c r="C1" s="55"/>
    </row>
    <row r="2" spans="2:4" ht="47.25" customHeight="1" x14ac:dyDescent="0.5">
      <c r="B2" s="59" t="s">
        <v>58</v>
      </c>
      <c r="C2" s="60"/>
      <c r="D2" s="60"/>
    </row>
    <row r="3" spans="2:4" ht="8.25" customHeight="1" x14ac:dyDescent="0.35">
      <c r="B3" s="19"/>
      <c r="C3" s="21"/>
      <c r="D3" s="21"/>
    </row>
    <row r="4" spans="2:4" ht="66.75" customHeight="1" x14ac:dyDescent="0.35">
      <c r="B4" s="61" t="s">
        <v>79</v>
      </c>
      <c r="C4" s="61"/>
      <c r="D4" s="61"/>
    </row>
    <row r="5" spans="2:4" ht="21.75" customHeight="1" x14ac:dyDescent="0.35">
      <c r="C5"/>
    </row>
    <row r="6" spans="2:4" ht="27" customHeight="1" x14ac:dyDescent="0.35">
      <c r="B6" s="56" t="s">
        <v>44</v>
      </c>
      <c r="C6"/>
    </row>
    <row r="7" spans="2:4" x14ac:dyDescent="0.35">
      <c r="B7" s="34" t="s">
        <v>54</v>
      </c>
      <c r="C7"/>
    </row>
    <row r="8" spans="2:4" x14ac:dyDescent="0.35">
      <c r="B8" s="34" t="s">
        <v>55</v>
      </c>
      <c r="C8"/>
    </row>
    <row r="9" spans="2:4" x14ac:dyDescent="0.35">
      <c r="B9" s="34" t="s">
        <v>45</v>
      </c>
    </row>
    <row r="10" spans="2:4" x14ac:dyDescent="0.35">
      <c r="B10" s="43"/>
      <c r="C10" s="55"/>
    </row>
    <row r="11" spans="2:4" x14ac:dyDescent="0.35">
      <c r="B11" s="43"/>
      <c r="C11" s="55"/>
    </row>
    <row r="12" spans="2:4" x14ac:dyDescent="0.35">
      <c r="B12" s="43"/>
      <c r="C12" s="55"/>
    </row>
    <row r="13" spans="2:4" x14ac:dyDescent="0.35">
      <c r="C13" s="55"/>
    </row>
    <row r="14" spans="2:4" x14ac:dyDescent="0.35">
      <c r="C14" s="55"/>
    </row>
    <row r="15" spans="2:4" x14ac:dyDescent="0.35">
      <c r="C15" s="55"/>
    </row>
    <row r="16" spans="2:4" x14ac:dyDescent="0.35">
      <c r="B16" s="58" t="s">
        <v>13</v>
      </c>
      <c r="C16" s="58"/>
      <c r="D16" s="58"/>
    </row>
    <row r="17" spans="3:3" x14ac:dyDescent="0.35">
      <c r="C17" s="55"/>
    </row>
  </sheetData>
  <sheetProtection algorithmName="SHA-512" hashValue="k/HjknP5xPOgT4bVUSZtfAZmGxbJ+1ebSbRIXYVjHv35kjOAMifGBW1mQA2PIiFOnK3DdfGnILPcW96NL1ApoA==" saltValue="Du81wGUd5I1RZVKrE4UGYg==" spinCount="100000" sheet="1" objects="1" scenarios="1" selectLockedCells="1"/>
  <mergeCells count="3">
    <mergeCell ref="B16:D16"/>
    <mergeCell ref="B2:D2"/>
    <mergeCell ref="B4:D4"/>
  </mergeCells>
  <hyperlinks>
    <hyperlink ref="B9" location="'Most Programs'!A1" display="All other programs" xr:uid="{00000000-0004-0000-0000-000000000000}"/>
    <hyperlink ref="B8" location="'Online GIS'!A1" display="Online MS in Geographic Information Science" xr:uid="{90787ED2-55A8-45DF-AD62-8F61DA7697D2}"/>
    <hyperlink ref="B7" location="'PSM Bio, MA Phys'!A1" display="PSM in Biomedical Sciences or MS in Clinical Exercise Physiology" xr:uid="{00000000-0004-0000-0000-000001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37"/>
  <sheetViews>
    <sheetView showGridLines="0" showRowColHeaders="0" showRuler="0" zoomScaleNormal="100" workbookViewId="0">
      <selection activeCell="J6" sqref="J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E2" s="63" t="s">
        <v>76</v>
      </c>
      <c r="F2" s="63"/>
      <c r="G2" s="63"/>
      <c r="H2" s="63"/>
      <c r="I2" s="63"/>
      <c r="J2" s="63"/>
      <c r="K2" s="63"/>
      <c r="L2" s="63"/>
      <c r="M2" s="63"/>
      <c r="N2" s="63"/>
      <c r="O2" s="63"/>
    </row>
    <row r="3" spans="2:19" ht="8.25" customHeight="1" x14ac:dyDescent="0.35">
      <c r="B3" s="19"/>
      <c r="C3" s="19"/>
      <c r="D3" s="19"/>
      <c r="E3" s="19"/>
      <c r="F3" s="19"/>
      <c r="G3" s="19"/>
      <c r="H3" s="20"/>
      <c r="I3" s="21"/>
      <c r="J3" s="21"/>
      <c r="K3" s="21"/>
      <c r="L3" s="21"/>
      <c r="M3" s="21"/>
      <c r="N3" s="21"/>
      <c r="O3" s="21"/>
    </row>
    <row r="4" spans="2:19" ht="10.5" customHeight="1" x14ac:dyDescent="0.35">
      <c r="J4" s="37"/>
      <c r="L4" s="37"/>
      <c r="N4" s="37"/>
    </row>
    <row r="5" spans="2:19" x14ac:dyDescent="0.35">
      <c r="J5" s="37" t="s">
        <v>60</v>
      </c>
      <c r="L5" s="37" t="s">
        <v>61</v>
      </c>
      <c r="N5" s="37" t="s">
        <v>62</v>
      </c>
    </row>
    <row r="6" spans="2:19" ht="18" customHeight="1" x14ac:dyDescent="0.45">
      <c r="D6" s="6" t="s">
        <v>14</v>
      </c>
      <c r="E6" s="27"/>
      <c r="F6" s="27"/>
      <c r="G6" s="27"/>
      <c r="H6" s="27"/>
      <c r="I6" s="27"/>
      <c r="J6" s="36" t="s">
        <v>46</v>
      </c>
      <c r="L6" s="36" t="s">
        <v>46</v>
      </c>
      <c r="M6" s="22"/>
      <c r="N6" s="36" t="s">
        <v>46</v>
      </c>
      <c r="O6" s="27"/>
    </row>
    <row r="7" spans="2:19" ht="6" customHeight="1" x14ac:dyDescent="0.35"/>
    <row r="8" spans="2:19" ht="15" thickBot="1" x14ac:dyDescent="0.4">
      <c r="B8" s="1" t="s">
        <v>7</v>
      </c>
      <c r="C8" s="1"/>
      <c r="D8" s="2"/>
      <c r="E8" s="2"/>
      <c r="F8" s="2"/>
      <c r="G8" s="2"/>
      <c r="H8" s="4" t="s">
        <v>3</v>
      </c>
      <c r="I8" s="3"/>
      <c r="J8" s="4" t="s">
        <v>63</v>
      </c>
      <c r="K8" s="3"/>
      <c r="L8" s="4" t="s">
        <v>64</v>
      </c>
      <c r="M8" s="4"/>
      <c r="N8" s="4" t="s">
        <v>65</v>
      </c>
      <c r="O8" s="2"/>
      <c r="Q8" s="57" t="str">
        <f>IFERROR(_xlfn.NUMBERVALUE(TRIM(LEFT(J6,2))),"")</f>
        <v/>
      </c>
      <c r="R8" s="57" t="str">
        <f>IFERROR(_xlfn.NUMBERVALUE(TRIM(LEFT(L6,2))),"")</f>
        <v/>
      </c>
      <c r="S8" s="57" t="str">
        <f>IFERROR(_xlfn.NUMBERVALUE(TRIM(LEFT(N6,2))),"")</f>
        <v/>
      </c>
    </row>
    <row r="9" spans="2:19" ht="9" customHeight="1" x14ac:dyDescent="0.35"/>
    <row r="10" spans="2:19" ht="21.75" customHeight="1" x14ac:dyDescent="0.35">
      <c r="B10" s="9" t="s">
        <v>1</v>
      </c>
      <c r="C10" s="9"/>
      <c r="D10" s="64"/>
      <c r="E10" s="64"/>
      <c r="F10" s="10"/>
      <c r="G10" s="10"/>
      <c r="H10" s="11">
        <f>J10+L10+N10</f>
        <v>0</v>
      </c>
      <c r="I10" s="10"/>
      <c r="J10" s="11">
        <f>VLOOKUP(J6,Data!A2:D22,3,FALSE)</f>
        <v>0</v>
      </c>
      <c r="K10" s="10"/>
      <c r="L10" s="11">
        <f>VLOOKUP(L6,Data!A2:D22,3,FALSE)</f>
        <v>0</v>
      </c>
      <c r="M10" s="11"/>
      <c r="N10" s="11">
        <f>VLOOKUP(N6,Data!A2:D22,3,FALSE)</f>
        <v>0</v>
      </c>
      <c r="O10" s="10"/>
    </row>
    <row r="11" spans="2:19" ht="21.75" customHeight="1" x14ac:dyDescent="0.35">
      <c r="B11" s="35" t="s">
        <v>0</v>
      </c>
      <c r="C11" s="35"/>
    </row>
    <row r="12" spans="2:19" ht="21.75" customHeight="1" x14ac:dyDescent="0.3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9" ht="21.75" customHeight="1" x14ac:dyDescent="0.35">
      <c r="B13" s="33" t="s">
        <v>16</v>
      </c>
      <c r="C13" s="33"/>
      <c r="H13" s="5">
        <f>J13+L13+N13</f>
        <v>0</v>
      </c>
      <c r="J13" s="5">
        <f>IF(AND(J6&lt;&gt;"not enrolled", J6&lt;&gt;"select"), 57, 0)</f>
        <v>0</v>
      </c>
      <c r="L13" s="5">
        <f>IF(AND(L6&lt;&gt;"not enrolled", L6&lt;&gt;"select"), 57, 0)</f>
        <v>0</v>
      </c>
      <c r="N13" s="5">
        <f>IF(AND(N6&lt;&gt;"not enrolled", N6&lt;&gt;"select"), 57, 0)</f>
        <v>0</v>
      </c>
    </row>
    <row r="14" spans="2:19" ht="21.75" customHeight="1" x14ac:dyDescent="0.35">
      <c r="B14" s="66" t="s">
        <v>43</v>
      </c>
      <c r="C14" s="66"/>
      <c r="D14" s="66"/>
      <c r="E14" s="67"/>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9" ht="21.75" customHeight="1" x14ac:dyDescent="0.35">
      <c r="B15" s="68" t="s">
        <v>48</v>
      </c>
      <c r="C15" s="68"/>
      <c r="D15" s="68"/>
      <c r="E15" s="68"/>
      <c r="F15" s="45"/>
      <c r="G15" s="30"/>
      <c r="H15" s="31">
        <f>J15+L15+N15</f>
        <v>0</v>
      </c>
      <c r="I15" s="30"/>
      <c r="J15" s="44">
        <f>IF(AND(J6&lt;&gt;"select", J6&lt;&gt;"not enrolled",J6&lt;&gt;"4 credits",J6&lt;&gt;"5 credits",J6&lt;&gt;"6 credits",J6&lt;&gt;"7 credits"), 258, 0)</f>
        <v>0</v>
      </c>
      <c r="K15" s="30"/>
      <c r="L15" s="44">
        <f>IF(AND(L6&lt;&gt;"select", L6&lt;&gt;"not enrolled",L6&lt;&gt;"4 credits",L6&lt;&gt;"5 credits",L6&lt;&gt;"6 credits",L6&lt;&gt;"7 credits"), 258, 0)</f>
        <v>0</v>
      </c>
      <c r="M15" s="31"/>
      <c r="N15" s="44">
        <f>IF(AND(N6&lt;&gt;"select", N6&lt;&gt;"not enrolled",N6&lt;&gt;"4 credits",N6&lt;&gt;"5 credits",N6&lt;&gt;"6 credits",N6&lt;&gt;"7 credits"), 258,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10</v>
      </c>
      <c r="C18" s="1"/>
      <c r="D18" s="2"/>
      <c r="E18" s="2"/>
      <c r="F18" s="2"/>
      <c r="G18" s="2"/>
      <c r="H18" s="4" t="s">
        <v>3</v>
      </c>
      <c r="I18" s="3"/>
      <c r="J18" s="4" t="s">
        <v>63</v>
      </c>
      <c r="K18" s="3"/>
      <c r="L18" s="4" t="s">
        <v>64</v>
      </c>
      <c r="M18" s="4"/>
      <c r="N18" s="4" t="s">
        <v>65</v>
      </c>
      <c r="O18" s="2"/>
      <c r="Q18" s="57">
        <f>IF($J$6="not enrolled",1,IF(Q8&lt;8,1,0))</f>
        <v>0</v>
      </c>
      <c r="R18" s="57">
        <f>IF($L$6="not enrolled",1,IF(R8&lt;8,1,0))</f>
        <v>0</v>
      </c>
      <c r="S18" s="57">
        <f>IF($N$6="not enrolled",1,IF(S8&lt;8,1,0))</f>
        <v>0</v>
      </c>
    </row>
    <row r="19" spans="2:24" ht="21.75" customHeight="1" x14ac:dyDescent="0.3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49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62" t="str">
        <f>IFERROR(IF(SUM($Q$18:$T$18)=0,"",Language!$A$1),"")</f>
        <v/>
      </c>
      <c r="Q21" s="62"/>
      <c r="R21" s="62"/>
      <c r="S21" s="62"/>
      <c r="T21" s="62"/>
      <c r="U21" s="62"/>
      <c r="V21" s="62"/>
      <c r="W21" s="62"/>
      <c r="X21" s="62"/>
    </row>
    <row r="22" spans="2:24" ht="21.75" customHeight="1" x14ac:dyDescent="0.35">
      <c r="B22" s="10" t="s">
        <v>50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62"/>
      <c r="Q22" s="62"/>
      <c r="R22" s="62"/>
      <c r="S22" s="62"/>
      <c r="T22" s="62"/>
      <c r="U22" s="62"/>
      <c r="V22" s="62"/>
      <c r="W22" s="62"/>
      <c r="X22" s="62"/>
    </row>
    <row r="23" spans="2:24" ht="21.75" customHeight="1" x14ac:dyDescent="0.35">
      <c r="B23" s="69" t="s">
        <v>21</v>
      </c>
      <c r="C23" s="69"/>
      <c r="D23" s="69"/>
      <c r="E23" s="69"/>
      <c r="F23" s="69"/>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70" t="s">
        <v>22</v>
      </c>
      <c r="C24" s="70"/>
      <c r="D24" s="70"/>
      <c r="E24" s="70"/>
      <c r="F24" s="70"/>
      <c r="G24" s="70"/>
      <c r="H24" s="26">
        <f>J24+L24+N24</f>
        <v>0</v>
      </c>
      <c r="I24" s="25"/>
      <c r="J24" s="18"/>
      <c r="K24" s="25"/>
      <c r="L24" s="18"/>
      <c r="M24" s="32"/>
      <c r="N24" s="42"/>
      <c r="O24" s="25"/>
    </row>
    <row r="25" spans="2:24" ht="21.75" customHeight="1" x14ac:dyDescent="0.35">
      <c r="D25" s="7" t="s">
        <v>9</v>
      </c>
      <c r="H25" s="5">
        <f>SUM(H19:H24)</f>
        <v>0</v>
      </c>
      <c r="J25" s="5">
        <f>SUM(J19:J24)</f>
        <v>0</v>
      </c>
      <c r="L25" s="5">
        <f>SUM(L19:L23,L24)</f>
        <v>0</v>
      </c>
      <c r="N25" s="5">
        <f>SUM(N19:N23,N24)</f>
        <v>0</v>
      </c>
    </row>
    <row r="26" spans="2:24" ht="15" thickBot="1" x14ac:dyDescent="0.4"/>
    <row r="27" spans="2:24" ht="21.75" customHeight="1" thickTop="1" thickBot="1" x14ac:dyDescent="0.5">
      <c r="B27" s="14" t="s">
        <v>11</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12</v>
      </c>
      <c r="C29" s="7"/>
    </row>
    <row r="30" spans="2:24" ht="21.75" customHeight="1" x14ac:dyDescent="0.35">
      <c r="B30" s="39">
        <v>1</v>
      </c>
      <c r="C30" t="s">
        <v>77</v>
      </c>
      <c r="D30" s="38"/>
      <c r="E30" s="38"/>
      <c r="F30" s="38"/>
      <c r="G30" s="38"/>
      <c r="H30" s="38"/>
      <c r="I30" s="38"/>
      <c r="J30" s="38"/>
      <c r="K30" s="38"/>
      <c r="L30" s="38"/>
      <c r="M30" s="38"/>
      <c r="N30" s="38"/>
      <c r="O30" s="38"/>
    </row>
    <row r="31" spans="2:24" ht="18" customHeight="1" x14ac:dyDescent="0.35">
      <c r="B31" s="41">
        <v>2</v>
      </c>
      <c r="C31" t="s">
        <v>67</v>
      </c>
      <c r="H31"/>
      <c r="J31"/>
      <c r="L31"/>
      <c r="M31"/>
      <c r="N31"/>
    </row>
    <row r="32" spans="2:24" ht="32.25" customHeight="1" x14ac:dyDescent="0.35">
      <c r="B32" s="40">
        <v>3</v>
      </c>
      <c r="C32" s="71" t="s">
        <v>78</v>
      </c>
      <c r="D32" s="71"/>
      <c r="E32" s="71"/>
      <c r="F32" s="71"/>
      <c r="G32" s="71"/>
      <c r="H32" s="71"/>
      <c r="I32" s="71"/>
      <c r="J32" s="71"/>
      <c r="K32" s="71"/>
      <c r="L32" s="71"/>
      <c r="M32" s="71"/>
      <c r="N32" s="71"/>
      <c r="O32" s="71"/>
    </row>
    <row r="33" spans="2:15" ht="32.25" customHeight="1" x14ac:dyDescent="0.35">
      <c r="B33" s="40">
        <v>4</v>
      </c>
      <c r="C33" s="71" t="s">
        <v>47</v>
      </c>
      <c r="D33" s="71"/>
      <c r="E33" s="71"/>
      <c r="F33" s="71"/>
      <c r="G33" s="71"/>
      <c r="H33" s="71"/>
      <c r="I33" s="71"/>
      <c r="J33" s="71"/>
      <c r="K33" s="71"/>
      <c r="L33" s="71"/>
      <c r="M33" s="71"/>
      <c r="N33" s="71"/>
      <c r="O33" s="71"/>
    </row>
    <row r="34" spans="2:15" ht="62.25" customHeight="1" x14ac:dyDescent="0.35">
      <c r="B34" s="40">
        <v>5</v>
      </c>
      <c r="C34" s="71" t="s">
        <v>69</v>
      </c>
      <c r="D34" s="71"/>
      <c r="E34" s="71"/>
      <c r="F34" s="71"/>
      <c r="G34" s="71"/>
      <c r="H34" s="71"/>
      <c r="I34" s="71"/>
      <c r="J34" s="71"/>
      <c r="K34" s="71"/>
      <c r="L34" s="71"/>
      <c r="M34" s="71"/>
      <c r="N34" s="71"/>
      <c r="O34" s="71"/>
    </row>
    <row r="35" spans="2:15" ht="21.75" customHeight="1" x14ac:dyDescent="0.35"/>
    <row r="37" spans="2:15" x14ac:dyDescent="0.35">
      <c r="B37" s="65" t="s">
        <v>13</v>
      </c>
      <c r="C37" s="65"/>
      <c r="D37" s="65"/>
      <c r="E37" s="65"/>
      <c r="F37" s="65"/>
      <c r="G37" s="65"/>
      <c r="H37" s="65"/>
      <c r="I37" s="65"/>
      <c r="J37" s="65"/>
      <c r="K37" s="65"/>
      <c r="L37" s="65"/>
      <c r="M37" s="65"/>
      <c r="N37" s="65"/>
      <c r="O37" s="65"/>
    </row>
  </sheetData>
  <sheetProtection algorithmName="SHA-512" hashValue="Z3PHDiU9zWTnBtUitj692N4O61zsajk+D74HjfBl0qA+CDZdXO8AfE/4YZjksUUsxOgTSWOopQVjmKP7wJ27EQ==" saltValue="BJ3bBhANDz6hn1nCS4Aw9Q==" spinCount="100000" sheet="1" selectLockedCells="1"/>
  <mergeCells count="11">
    <mergeCell ref="P21:X22"/>
    <mergeCell ref="E2:O2"/>
    <mergeCell ref="D10:E10"/>
    <mergeCell ref="B37:O37"/>
    <mergeCell ref="B14:E14"/>
    <mergeCell ref="B15:E15"/>
    <mergeCell ref="B23:F23"/>
    <mergeCell ref="B24:G24"/>
    <mergeCell ref="C34:O34"/>
    <mergeCell ref="C33:O33"/>
    <mergeCell ref="C32:O32"/>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9D37D-C374-47FD-A497-AF2BD861009E}">
  <dimension ref="B1:X31"/>
  <sheetViews>
    <sheetView showGridLines="0" showRowColHeaders="0" workbookViewId="0">
      <selection activeCell="K5" sqref="K5"/>
    </sheetView>
  </sheetViews>
  <sheetFormatPr defaultRowHeight="14.5" x14ac:dyDescent="0.35"/>
  <cols>
    <col min="1" max="1" width="4.08984375" customWidth="1"/>
    <col min="4" max="4" width="14" customWidth="1"/>
    <col min="5" max="5" width="13.90625" customWidth="1"/>
    <col min="6" max="6" width="4.36328125" customWidth="1"/>
    <col min="7" max="7" width="15" customWidth="1"/>
    <col min="8" max="8" width="2.90625" customWidth="1"/>
    <col min="9" max="9" width="15" customWidth="1"/>
    <col min="10" max="10" width="2.90625" customWidth="1"/>
    <col min="11" max="11" width="15" customWidth="1"/>
    <col min="12" max="12" width="2.90625" customWidth="1"/>
    <col min="13" max="13" width="15" customWidth="1"/>
    <col min="14" max="14" width="2.90625" customWidth="1"/>
    <col min="15" max="15" width="15" customWidth="1"/>
  </cols>
  <sheetData>
    <row r="1" spans="2:24" x14ac:dyDescent="0.35">
      <c r="G1" s="5"/>
      <c r="I1" s="5"/>
      <c r="K1" s="5"/>
      <c r="L1" s="5"/>
      <c r="M1" s="5"/>
      <c r="N1" s="5"/>
      <c r="O1" s="5"/>
    </row>
    <row r="2" spans="2:24" ht="47.25" customHeight="1" x14ac:dyDescent="0.5">
      <c r="G2" s="59" t="s">
        <v>70</v>
      </c>
      <c r="H2" s="59"/>
      <c r="I2" s="59"/>
      <c r="J2" s="59"/>
      <c r="K2" s="59"/>
      <c r="L2" s="59"/>
      <c r="M2" s="59"/>
      <c r="N2" s="59"/>
      <c r="O2" s="59"/>
    </row>
    <row r="3" spans="2:24" ht="21" x14ac:dyDescent="0.35">
      <c r="B3" s="19"/>
      <c r="C3" s="19"/>
      <c r="D3" s="19"/>
      <c r="E3" s="19"/>
      <c r="F3" s="19"/>
      <c r="G3" s="20"/>
      <c r="H3" s="21"/>
      <c r="I3" s="21"/>
      <c r="J3" s="21"/>
      <c r="K3" s="21"/>
      <c r="L3" s="21"/>
      <c r="M3" s="21"/>
      <c r="N3" s="21"/>
      <c r="O3" s="21"/>
    </row>
    <row r="4" spans="2:24" x14ac:dyDescent="0.35">
      <c r="G4" s="5"/>
      <c r="I4" s="46" t="s">
        <v>60</v>
      </c>
      <c r="K4" s="46" t="s">
        <v>61</v>
      </c>
      <c r="L4" s="47"/>
      <c r="M4" s="46" t="s">
        <v>62</v>
      </c>
      <c r="N4" s="47"/>
      <c r="O4" s="46" t="s">
        <v>71</v>
      </c>
    </row>
    <row r="5" spans="2:24" ht="18.5" x14ac:dyDescent="0.45">
      <c r="C5" s="6" t="s">
        <v>51</v>
      </c>
      <c r="E5" s="27"/>
      <c r="F5" s="27"/>
      <c r="G5" s="27"/>
      <c r="H5" s="27"/>
      <c r="I5" s="48" t="s">
        <v>46</v>
      </c>
      <c r="K5" s="49" t="s">
        <v>46</v>
      </c>
      <c r="M5" s="50" t="s">
        <v>46</v>
      </c>
      <c r="O5" s="50" t="s">
        <v>46</v>
      </c>
    </row>
    <row r="6" spans="2:24" x14ac:dyDescent="0.35">
      <c r="G6" s="5"/>
      <c r="I6" s="5"/>
      <c r="K6" s="5"/>
      <c r="L6" s="5"/>
      <c r="M6" s="5"/>
      <c r="N6" s="5"/>
      <c r="O6" s="5"/>
    </row>
    <row r="7" spans="2:24" ht="15" thickBot="1" x14ac:dyDescent="0.4">
      <c r="B7" s="1" t="s">
        <v>7</v>
      </c>
      <c r="C7" s="2"/>
      <c r="D7" s="2"/>
      <c r="E7" s="2"/>
      <c r="F7" s="2"/>
      <c r="G7" s="4" t="s">
        <v>3</v>
      </c>
      <c r="H7" s="3"/>
      <c r="I7" s="4" t="s">
        <v>63</v>
      </c>
      <c r="J7" s="3"/>
      <c r="K7" s="4" t="s">
        <v>64</v>
      </c>
      <c r="L7" s="4"/>
      <c r="M7" s="4" t="s">
        <v>65</v>
      </c>
      <c r="N7" s="4"/>
      <c r="O7" s="4" t="s">
        <v>72</v>
      </c>
      <c r="Q7" s="57" t="str">
        <f>IFERROR(_xlfn.NUMBERVALUE(TRIM(LEFT(I5,2))),"")</f>
        <v/>
      </c>
      <c r="R7" s="57" t="str">
        <f>IFERROR(_xlfn.NUMBERVALUE(TRIM(LEFT(K5,2))),"")</f>
        <v/>
      </c>
      <c r="S7" s="57" t="str">
        <f>IFERROR(_xlfn.NUMBERVALUE(TRIM(LEFT(M5,2))),"")</f>
        <v/>
      </c>
      <c r="T7" s="57" t="str">
        <f>IFERROR(_xlfn.NUMBERVALUE(TRIM(LEFT(O5,2))),"")</f>
        <v/>
      </c>
    </row>
    <row r="8" spans="2:24" x14ac:dyDescent="0.35">
      <c r="G8" s="5"/>
      <c r="I8" s="5"/>
      <c r="K8" s="5"/>
      <c r="L8" s="5"/>
      <c r="M8" s="5"/>
      <c r="N8" s="5"/>
      <c r="O8" s="5"/>
    </row>
    <row r="9" spans="2:24" ht="21.75" customHeight="1" x14ac:dyDescent="0.35">
      <c r="B9" s="9" t="s">
        <v>1</v>
      </c>
      <c r="C9" s="64"/>
      <c r="D9" s="64"/>
      <c r="E9" s="10"/>
      <c r="F9" s="10"/>
      <c r="G9" s="11">
        <f>I9+K9+M9+O9</f>
        <v>0</v>
      </c>
      <c r="H9" s="10"/>
      <c r="I9" s="11">
        <f>VLOOKUP(I5,Data!A2:D22,3,FALSE)</f>
        <v>0</v>
      </c>
      <c r="J9" s="10"/>
      <c r="K9" s="11">
        <f>VLOOKUP(K5,Data!A2:D22,3,FALSE)</f>
        <v>0</v>
      </c>
      <c r="L9" s="11"/>
      <c r="M9" s="11">
        <f>VLOOKUP(M5,Data!A2:D22,3,FALSE)</f>
        <v>0</v>
      </c>
      <c r="N9" s="11"/>
      <c r="O9" s="11">
        <f>VLOOKUP(O5,Data!A2:D22,3,FALSE)</f>
        <v>0</v>
      </c>
    </row>
    <row r="10" spans="2:24" ht="21.75" customHeight="1" x14ac:dyDescent="0.35">
      <c r="B10" s="35" t="s">
        <v>2</v>
      </c>
      <c r="G10" s="51">
        <f>I10+K10+M10+O10</f>
        <v>0</v>
      </c>
      <c r="I10" s="51">
        <f>VLOOKUP(I5,Data!A2:D22,4,FALSE)</f>
        <v>0</v>
      </c>
      <c r="K10" s="51">
        <f>VLOOKUP(K5,Data!A2:D22,4,FALSE)</f>
        <v>0</v>
      </c>
      <c r="L10" s="51"/>
      <c r="M10" s="51">
        <f>VLOOKUP(M5,Data!A2:D22,4,FALSE)</f>
        <v>0</v>
      </c>
      <c r="N10" s="51"/>
      <c r="O10" s="51">
        <f>VLOOKUP(O5,Data!A2:D22,4,FALSE)</f>
        <v>0</v>
      </c>
    </row>
    <row r="11" spans="2:24" ht="21.75" customHeight="1" x14ac:dyDescent="0.35">
      <c r="B11" s="19"/>
      <c r="C11" s="52" t="s">
        <v>6</v>
      </c>
      <c r="D11" s="19"/>
      <c r="E11" s="19"/>
      <c r="F11" s="19"/>
      <c r="G11" s="53">
        <f>SUM(G9:G10)</f>
        <v>0</v>
      </c>
      <c r="H11" s="19"/>
      <c r="I11" s="53">
        <f>SUM(I9:I10)</f>
        <v>0</v>
      </c>
      <c r="J11" s="19"/>
      <c r="K11" s="53">
        <f>SUM(K9:K10)</f>
        <v>0</v>
      </c>
      <c r="L11" s="53"/>
      <c r="M11" s="53">
        <f>SUM(M9:M10)</f>
        <v>0</v>
      </c>
      <c r="N11" s="53"/>
      <c r="O11" s="53">
        <f>SUM(O9:O10)</f>
        <v>0</v>
      </c>
    </row>
    <row r="12" spans="2:24" ht="24" customHeight="1" x14ac:dyDescent="0.35">
      <c r="G12" s="5"/>
      <c r="I12" s="5"/>
      <c r="K12" s="5"/>
      <c r="L12" s="5"/>
      <c r="M12" s="5"/>
      <c r="N12" s="5"/>
      <c r="O12" s="5"/>
    </row>
    <row r="13" spans="2:24" ht="15.75" customHeight="1" thickBot="1" x14ac:dyDescent="0.4">
      <c r="B13" s="1" t="s">
        <v>10</v>
      </c>
      <c r="C13" s="2"/>
      <c r="D13" s="2"/>
      <c r="E13" s="2"/>
      <c r="F13" s="2"/>
      <c r="G13" s="4" t="s">
        <v>3</v>
      </c>
      <c r="H13" s="3"/>
      <c r="I13" s="4" t="s">
        <v>63</v>
      </c>
      <c r="J13" s="3"/>
      <c r="K13" s="4" t="s">
        <v>64</v>
      </c>
      <c r="L13" s="4"/>
      <c r="M13" s="4" t="s">
        <v>65</v>
      </c>
      <c r="N13" s="4"/>
      <c r="O13" s="4" t="s">
        <v>72</v>
      </c>
      <c r="Q13" s="57">
        <f>IF($I$5="not enrolled",1,IF(Q7&lt;8,1,0))</f>
        <v>0</v>
      </c>
      <c r="R13" s="57">
        <f>IF($K$5="not enrolled",1,IF(R7&lt;8,1,0))</f>
        <v>0</v>
      </c>
      <c r="S13" s="57">
        <f>IF($M$5="not enrolled",1,IF(S7&lt;8,1,0))</f>
        <v>0</v>
      </c>
      <c r="T13" s="57">
        <f>IF($O$5="not enrolled",1,IF(T7&lt;8,1,0))</f>
        <v>0</v>
      </c>
    </row>
    <row r="14" spans="2:24" ht="21.75" customHeight="1" x14ac:dyDescent="0.35">
      <c r="B14" t="s">
        <v>15</v>
      </c>
      <c r="G14" s="15"/>
      <c r="I14" s="5">
        <f>IF((AND(I5&lt;&gt;"not enrolled",K5&lt;&gt;"not enrolled",M5&lt;&gt;"not enrolled",O5&lt;&gt;"not enrolled")),(G14/4), IF((AND(I5&lt;&gt;"not enrolled",K5&lt;&gt;"not enrolled",M5&lt;&gt;"not enrolled",O5="not enrolled")),(G14/3), IF((AND(I5&lt;&gt;"not enrolled",K5&lt;&gt;"not enrolled",M5="not enrolled",O5="not enrolled")),(G14/2), IF((AND(I5&lt;&gt;"not enrolled",K5="not enrolled",M5="not enrolled",O5="not enrolled")),(G14/1), 0))))</f>
        <v>0</v>
      </c>
      <c r="K14" s="5">
        <f>IF((AND(I5&lt;&gt;"not enrolled",K5&lt;&gt;"not enrolled",M5&lt;&gt;"not enrolled",O5&lt;&gt;"not enrolled")),(G14/4), IF((AND(I5&lt;&gt;"not enrolled",K5&lt;&gt;"not enrolled",M5&lt;&gt;"not enrolled",O5="not enrolled")),(G14/3), IF((AND(I5="not enrolled",K5&lt;&gt;"not enrolled",M5&lt;&gt;"not enrolled",O5&lt;&gt;"not enrolled")),(G14/3), IF((AND(I5&lt;&gt;"not enrolled",K5&lt;&gt;"not enrolled",M5="not enrolled",O5="not enrolled")),(G14/2), 0))))</f>
        <v>0</v>
      </c>
      <c r="L14" s="5"/>
      <c r="M14" s="5">
        <f>IF((AND(I5&lt;&gt;"not enrolled",K5&lt;&gt;"not enrolled",M5&lt;&gt;"not enrolled",O5&lt;&gt;"not enrolled")),(G14/4), IF((AND(I5&lt;&gt;"not enrolled",K5&lt;&gt;"not enrolled",M5&lt;&gt;"not enrolled",O5="not enrolled")),(G14/3), IF((AND(I5="not enrolled",K5&lt;&gt;"not enrolled",M5&lt;&gt;"not enrolled",O5&lt;&gt;"not enrolled")),(G14/3), IF((AND(I5="not enrolled",K5="not enrolled",M5&lt;&gt;"not enrolled",O5&lt;&gt;"not enrolled")),(G14/2), 0))))</f>
        <v>0</v>
      </c>
      <c r="N14" s="5"/>
      <c r="O14" s="5">
        <f>IF((AND(I5&lt;&gt;"not enrolled",K5&lt;&gt;"not enrolled",M5&lt;&gt;"not enrolled",O5&lt;&gt;"not enrolled")),(G14/4), IF((AND(I5="not enrolled",K5&lt;&gt;"not enrolled",M5&lt;&gt;"not enrolled",O5&lt;&gt;"not enrolled")),(G14/3), IF((AND(I5="not enrolled",K5="not enrolled",M5&lt;&gt;"not enrolled",O5&lt;&gt;"not enrolled")),(G14/2),  IF((AND(I5="not enrolled",K5="not enrolled",M5="not enrolled",O5&lt;&gt;"not enrolled")),(G14), 0))))</f>
        <v>0</v>
      </c>
    </row>
    <row r="15" spans="2:24" ht="21.75" customHeight="1" x14ac:dyDescent="0.35">
      <c r="B15" s="10" t="s">
        <v>8</v>
      </c>
      <c r="C15" s="10"/>
      <c r="D15" s="10"/>
      <c r="E15" s="10"/>
      <c r="F15" s="10"/>
      <c r="G15" s="16"/>
      <c r="H15" s="10"/>
      <c r="I15" s="11">
        <f>IF((AND(I5&lt;&gt;"not enrolled",K5&lt;&gt;"not enrolled",M5&lt;&gt;"not enrolled",O5&lt;&gt;"not enrolled")),(G15/4), IF((AND(I5&lt;&gt;"not enrolled",K5&lt;&gt;"not enrolled",M5&lt;&gt;"not enrolled",O5="not enrolled")),(G15/3), IF((AND(I5&lt;&gt;"not enrolled",K5&lt;&gt;"not enrolled",M5="not enrolled",O5="not enrolled")),(G15/2), IF((AND(I5&lt;&gt;"not enrolled",K5="not enrolled",M5="not enrolled",O5="not enrolled")),(G15/1), 0))))</f>
        <v>0</v>
      </c>
      <c r="J15" s="10"/>
      <c r="K15" s="11">
        <f>IF((AND(I5&lt;&gt;"not enrolled",K5&lt;&gt;"not enrolled",M5&lt;&gt;"not enrolled",O5&lt;&gt;"not enrolled")),(G15/4), IF((AND(I5&lt;&gt;"not enrolled",K5&lt;&gt;"not enrolled",M5&lt;&gt;"not enrolled",O5="not enrolled")),(G15/3), IF((AND(I5="not enrolled",K5&lt;&gt;"not enrolled",M5&lt;&gt;"not enrolled",O5&lt;&gt;"not enrolled")),(G15/3), IF((AND(I5&lt;&gt;"not enrolled",K5&lt;&gt;"not enrolled",M5="not enrolled",O5="not enrolled")),(G15/2), 0))))</f>
        <v>0</v>
      </c>
      <c r="L15" s="11"/>
      <c r="M15" s="11">
        <f>IF((AND(I5&lt;&gt;"not enrolled",K5&lt;&gt;"not enrolled",M5&lt;&gt;"not enrolled",O5&lt;&gt;"not enrolled")),(G15/4), IF((AND(I5&lt;&gt;"not enrolled",K5&lt;&gt;"not enrolled",M5&lt;&gt;"not enrolled",O5="not enrolled")),(G15/3), IF((AND(I5="not enrolled",K5&lt;&gt;"not enrolled",M5&lt;&gt;"not enrolled",O5&lt;&gt;"not enrolled")),(G15/3), IF((AND(I5="not enrolled",K5="not enrolled",M5&lt;&gt;"not enrolled",O5&lt;&gt;"not enrolled")),(G15/2), 0))))</f>
        <v>0</v>
      </c>
      <c r="N15" s="11"/>
      <c r="O15" s="11">
        <f>IF((AND(I5&lt;&gt;"not enrolled",K5&lt;&gt;"not enrolled",M5&lt;&gt;"not enrolled",O5&lt;&gt;"not enrolled")),(G15/4), IF((AND(I5="not enrolled",K5&lt;&gt;"not enrolled",M5&lt;&gt;"not enrolled",O5&lt;&gt;"not enrolled")),(G15/3), IF((AND(I5="not enrolled",K5="not enrolled",M5&lt;&gt;"not enrolled",O5&lt;&gt;"not enrolled")),(G15/2),  IF((AND(I5="not enrolled",K5="not enrolled",M5="not enrolled",O5&lt;&gt;"not enrolled")),(G15), 0))))</f>
        <v>0</v>
      </c>
    </row>
    <row r="16" spans="2:24" ht="21.75" customHeight="1" x14ac:dyDescent="0.35">
      <c r="B16" t="s">
        <v>17</v>
      </c>
      <c r="E16" s="17"/>
      <c r="G16" s="5">
        <f>SUM(I16,K16,M16,O16)</f>
        <v>0</v>
      </c>
      <c r="I16" s="5">
        <f>IF((AND(I5&lt;&gt;"not enrolled",K5&lt;&gt;"not enrolled",M5&lt;&gt;"not enrolled",O5&lt;&gt;"not enrolled")),ROUND(((E16-(E16*0.01057))/4),0), IF((AND(I5&lt;&gt;"not enrolled",K5&lt;&gt;"not enrolled",M5&lt;&gt;"not enrolled",O5="not enrolled")),ROUND(((E16-(E16*0.01057))/3),0), IF((AND(I5&lt;&gt;"not enrolled",K5&lt;&gt;"not enrolled",M5="not enrolled",O5="not enrolled")),ROUND(((E16-(E16*0.01057))/2),0), IF((AND(I5&lt;&gt;"not enrolled",K5="not enrolled",M5="not enrolled",O5="not enrolled")),ROUND(((E16-(E16*0.01057))/1),0), 0))))</f>
        <v>0</v>
      </c>
      <c r="K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IF((AND(I5&lt;&gt;"not enrolled",K5&lt;&gt;"not enrolled",M5="not enrolled",O5="not enrolled")),ROUND(((E16-(E16*0.01057))/2),0), 0))))</f>
        <v>0</v>
      </c>
      <c r="L16" s="5"/>
      <c r="M16" s="5">
        <f>IF((AND(I5&lt;&gt;"not enrolled",K5&lt;&gt;"not enrolled",M5&lt;&gt;"not enrolled",O5&lt;&gt;"not enrolled")),ROUND(((E16-(E16*0.01057))/4),0), IF((AND(I5&lt;&gt;"not enrolled",K5&lt;&gt;"not enrolled",M5&lt;&gt;"not enrolled",O5="not enrolled")),ROUND(((E16-(E16*0.01057))/3),0), IF((AND(I5="not enrolled",K5&lt;&gt;"not enrolled",M5&lt;&gt;"not enrolled",O5&lt;&gt;"not enrolled")),ROUND(((E16-(E16*0.01057))/3),0), IF((AND(I5="not enrolled",K5="not enrolled",M5&lt;&gt;"not enrolled",O5&lt;&gt;"not enrolled")),ROUND(((E16-(E16*0.01057))/2),0), 0))))</f>
        <v>0</v>
      </c>
      <c r="N16" s="5"/>
      <c r="O16" s="5">
        <f>IF((AND(I5&lt;&gt;"not enrolled",K5&lt;&gt;"not enrolled",M5&lt;&gt;"not enrolled",O5&lt;&gt;"not enrolled")),ROUND(((E16-(E16*0.01057))/4),0), IF((AND(I5="not enrolled",K5&lt;&gt;"not enrolled",M5&lt;&gt;"not enrolled",O5&lt;&gt;"not enrolled")),ROUND(((E16-(E16*0.01057))/3),0), IF((AND(I5="not enrolled",K5="not enrolled",M5&lt;&gt;"not enrolled",O5&lt;&gt;"not enrolled")),ROUND(((E16-(E16*0.01057))/2),0),  IF((AND(I5="not enrolled",K5="not enrolled",M5="not enrolled",O5&lt;&gt;"not enrolled")),ROUND(((E16-(E16*0.01057))/1),0), 0))))</f>
        <v>0</v>
      </c>
      <c r="P16" s="62" t="str">
        <f>IFERROR(IF(SUM($Q$13:$U$13)=0,"",Language!$A$1),"")</f>
        <v/>
      </c>
      <c r="Q16" s="62"/>
      <c r="R16" s="62"/>
      <c r="S16" s="62"/>
      <c r="T16" s="62"/>
      <c r="U16" s="62"/>
      <c r="V16" s="62"/>
      <c r="W16" s="62"/>
      <c r="X16" s="62"/>
    </row>
    <row r="17" spans="2:24" ht="21.75" customHeight="1" x14ac:dyDescent="0.35">
      <c r="B17" s="10" t="s">
        <v>18</v>
      </c>
      <c r="C17" s="10"/>
      <c r="D17" s="10"/>
      <c r="E17" s="17"/>
      <c r="F17" s="10"/>
      <c r="G17" s="11">
        <f>SUM(I17,K17,M17,O17)</f>
        <v>0</v>
      </c>
      <c r="H17" s="10"/>
      <c r="I17" s="11">
        <f>IF((AND(I5&lt;&gt;"not enrolled",K5&lt;&gt;"not enrolled",M5&lt;&gt;"not enrolled",O5&lt;&gt;"not enrolled")),ROUND(((E17-(E17*0.04228))/4),0), IF((AND(I5&lt;&gt;"not enrolled",K5&lt;&gt;"not enrolled",M5&lt;&gt;"not enrolled",O5="not enrolled")),ROUND(((E17-(E17*0.04228))/3),0), IF((AND(I5&lt;&gt;"not enrolled",K5&lt;&gt;"not enrolled",M5="not enrolled",O5="not enrolled")),ROUND(((E17-(E17*0.04228))/2),0), IF((AND(I5&lt;&gt;"not enrolled",K5="not enrolled",M5="not enrolled",O5="not enrolled")),ROUND(((E17-(E17*0.04228))/1),0), 0))))</f>
        <v>0</v>
      </c>
      <c r="J17" s="10"/>
      <c r="K17" s="11">
        <f>IF((AND(I5&lt;&gt;"not enrolled",K5&lt;&gt;"not enrolled",M5&lt;&gt;"not enrolled",O5&lt;&gt;"not enrolled")),ROUND(((E17-(E17*0.04228))/4),0), IF((AND(I5&lt;&gt;"not enrolled",K5&lt;&gt;"not enrolled",M5&lt;&gt;"not enrolled",O5="not enrolled")),ROUND(((E17-(E17*0.04228))/3),0), IF((AND(I5="not enrolled",K5&lt;&gt;"not enrolled",M5&lt;&gt;"not enrolled",O5&lt;&gt;"not enrolled")),ROUND(((E17-(E17*0.04228))/3),0), IF((AND(I5&lt;&gt;"not enrolled",K5&lt;&gt;"not enrolled",M5="not enrolled",O5="not enrolled")),ROUND(((E17-(E17*0.04228))/2),0), 0))))</f>
        <v>0</v>
      </c>
      <c r="L17" s="11"/>
      <c r="M17" s="11">
        <f>IF((AND(I5&lt;&gt;"not enrolled",K5&lt;&gt;"not enrolled",M5&lt;&gt;"not enrolled",O5&lt;&gt;"not enrolled")),ROUND(((E17-(E17*0.04228))/4),0), IF((AND(I5&lt;&gt;"not enrolled",K5&lt;&gt;"not enrolled",M5&lt;&gt;"not enrolled",O5="not enrolled")),ROUND(((E17-(E17*0.0428))/3),0), IF((AND(I5="not enrolled",K5&lt;&gt;"not enrolled",M5&lt;&gt;"not enrolled",O5&lt;&gt;"not enrolled")),ROUND(((E17-(E17*0.04228))/3),0), IF((AND(I5="not enrolled",K5="not enrolled",M5&lt;&gt;"not enrolled",O5&lt;&gt;"not enrolled")),ROUND(((E17-(E17*0.04228))/2),0), 0))))</f>
        <v>0</v>
      </c>
      <c r="N17" s="11"/>
      <c r="O17" s="11">
        <f>IF((AND(I5&lt;&gt;"not enrolled",K5&lt;&gt;"not enrolled",M5&lt;&gt;"not enrolled",O5&lt;&gt;"not enrolled")),ROUND(((E17-(E17*0.04228))/4),0), IF((AND(I5="not enrolled",K5&lt;&gt;"not enrolled",M5&lt;&gt;"not enrolled",O5&lt;&gt;"not enrolled")),ROUND(((E17-(E17*0.04228))/3),0), IF((AND(I5="not enrolled",K5="not enrolled",M5&lt;&gt;"not enrolled",O5&lt;&gt;"not enrolled")),ROUND(((E17-(E17*0.04228))/2),0),  IF((AND(I5="not enrolled",K5="not enrolled",M5="not enrolled",O5&lt;&gt;"not enrolled")),ROUND(((E17-(E17*0.04228))/1),0), 0))))</f>
        <v>0</v>
      </c>
      <c r="P17" s="62"/>
      <c r="Q17" s="62"/>
      <c r="R17" s="62"/>
      <c r="S17" s="62"/>
      <c r="T17" s="62"/>
      <c r="U17" s="62"/>
      <c r="V17" s="62"/>
      <c r="W17" s="62"/>
      <c r="X17" s="62"/>
    </row>
    <row r="18" spans="2:24" ht="21.75" customHeight="1" x14ac:dyDescent="0.35">
      <c r="B18" t="s">
        <v>52</v>
      </c>
      <c r="G18" s="16"/>
      <c r="I18" s="5">
        <f>IF((AND(I5&lt;&gt;"not enrolled",K5&lt;&gt;"not enrolled",M5&lt;&gt;"not enrolled",O5&lt;&gt;"not enrolled")),(G18/4), IF((AND(I5&lt;&gt;"not enrolled",K5&lt;&gt;"not enrolled",M5&lt;&gt;"not enrolled",O5="not enrolled")),(G18/3), IF((AND(I5&lt;&gt;"not enrolled",K5&lt;&gt;"not enrolled",M5="not enrolled",O5="not enrolled")),(G18/2), IF((AND(I5&lt;&gt;"not enrolled",K5="not enrolled",M5="not enrolled",O5="not enrolled")),(G18/1), 0))))</f>
        <v>0</v>
      </c>
      <c r="K18" s="5">
        <f>IF((AND(I5&lt;&gt;"not enrolled",K5&lt;&gt;"not enrolled",M5&lt;&gt;"not enrolled",O5&lt;&gt;"not enrolled")),(G18/4), IF((AND(I5&lt;&gt;"not enrolled",K5&lt;&gt;"not enrolled",M5&lt;&gt;"not enrolled",O5="not enrolled")),(G18/3), IF((AND(I5="not enrolled",K5&lt;&gt;"not enrolled",M5&lt;&gt;"not enrolled",O5&lt;&gt;"not enrolled")),(G18/3), IF((AND(I5&lt;&gt;"not enrolled",K5&lt;&gt;"not enrolled",M5="not enrolled",O5="not enrolled")),(G18/2), 0))))</f>
        <v>0</v>
      </c>
      <c r="L18" s="5"/>
      <c r="M18" s="5">
        <f>IF((AND(I5&lt;&gt;"not enrolled",K5&lt;&gt;"not enrolled",M5&lt;&gt;"not enrolled",O5&lt;&gt;"not enrolled")),(G18/4), IF((AND(I5&lt;&gt;"not enrolled",K5&lt;&gt;"not enrolled",M5&lt;&gt;"not enrolled",O5="not enrolled")),(G18/3), IF((AND(I5="not enrolled",K5&lt;&gt;"not enrolled",M5&lt;&gt;"not enrolled",O5&lt;&gt;"not enrolled")),(G18/3), IF((AND(I5="not enrolled",K5="not enrolled",M5&lt;&gt;"not enrolled",O5&lt;&gt;"not enrolled")),(G18/2), 0))))</f>
        <v>0</v>
      </c>
      <c r="N18" s="5"/>
      <c r="O18" s="5">
        <f>IF((AND(I5&lt;&gt;"not enrolled",K5&lt;&gt;"not enrolled",M5&lt;&gt;"not enrolled",O5&lt;&gt;"not enrolled")),(G18/4), IF((AND(I5="not enrolled",K5&lt;&gt;"not enrolled",M5&lt;&gt;"not enrolled",O5&lt;&gt;"not enrolled")),(G18/3), IF((AND(I5="not enrolled",K5="not enrolled",M5&lt;&gt;"not enrolled",O5&lt;&gt;"not enrolled")),(G18/2),  IF((AND(I5="not enrolled",K5="not enrolled",M5="not enrolled",O5&lt;&gt;"not enrolled")),(G18), 0))))</f>
        <v>0</v>
      </c>
    </row>
    <row r="19" spans="2:24" ht="21.75" customHeight="1" x14ac:dyDescent="0.35">
      <c r="B19" s="70" t="s">
        <v>22</v>
      </c>
      <c r="C19" s="70"/>
      <c r="D19" s="70"/>
      <c r="E19" s="70"/>
      <c r="F19" s="70"/>
      <c r="G19" s="26">
        <f>I19+K19+M19+O19</f>
        <v>0</v>
      </c>
      <c r="H19" s="25"/>
      <c r="I19" s="18"/>
      <c r="J19" s="25"/>
      <c r="K19" s="18"/>
      <c r="L19" s="54"/>
      <c r="M19" s="18"/>
      <c r="N19" s="54"/>
      <c r="O19" s="18"/>
    </row>
    <row r="20" spans="2:24" ht="21.75" customHeight="1" x14ac:dyDescent="0.35">
      <c r="C20" s="7" t="s">
        <v>9</v>
      </c>
      <c r="G20" s="5">
        <f>SUM(G14:G19)</f>
        <v>0</v>
      </c>
      <c r="I20" s="5">
        <f>SUM(I14:I19)</f>
        <v>0</v>
      </c>
      <c r="K20" s="5">
        <f>SUM(K14:K19)</f>
        <v>0</v>
      </c>
      <c r="L20" s="5"/>
      <c r="M20" s="5">
        <f>SUM(M14:M19)</f>
        <v>0</v>
      </c>
      <c r="N20" s="5"/>
      <c r="O20" s="5">
        <f>SUM(O14:O19)</f>
        <v>0</v>
      </c>
    </row>
    <row r="21" spans="2:24" ht="15.75" customHeight="1" thickBot="1" x14ac:dyDescent="0.4">
      <c r="G21" s="5"/>
      <c r="I21" s="5"/>
      <c r="K21" s="5"/>
      <c r="L21" s="5"/>
      <c r="M21" s="5"/>
      <c r="N21" s="5"/>
      <c r="O21" s="5"/>
    </row>
    <row r="22" spans="2:24" ht="21.75" customHeight="1" thickTop="1" thickBot="1" x14ac:dyDescent="0.5">
      <c r="B22" s="14" t="s">
        <v>11</v>
      </c>
      <c r="C22" s="13"/>
      <c r="D22" s="13"/>
      <c r="E22" s="13"/>
      <c r="F22" s="13"/>
      <c r="G22" s="23">
        <f>G11-G20</f>
        <v>0</v>
      </c>
      <c r="H22" s="24"/>
      <c r="I22" s="23">
        <f>I11-I20</f>
        <v>0</v>
      </c>
      <c r="J22" s="24"/>
      <c r="K22" s="23">
        <f>K11-K20</f>
        <v>0</v>
      </c>
      <c r="L22" s="23"/>
      <c r="M22" s="23">
        <f>M11-M20</f>
        <v>0</v>
      </c>
      <c r="N22" s="23"/>
      <c r="O22" s="23">
        <f>O11-O20</f>
        <v>0</v>
      </c>
    </row>
    <row r="23" spans="2:24" ht="15" thickTop="1" x14ac:dyDescent="0.35">
      <c r="G23" s="5"/>
      <c r="I23" s="5"/>
      <c r="K23" s="5"/>
      <c r="L23" s="5"/>
      <c r="M23" s="5"/>
      <c r="N23" s="5"/>
      <c r="O23" s="5"/>
    </row>
    <row r="24" spans="2:24" x14ac:dyDescent="0.35">
      <c r="B24" s="7" t="s">
        <v>12</v>
      </c>
      <c r="G24" s="5"/>
      <c r="I24" s="5"/>
      <c r="K24" s="5"/>
      <c r="L24" s="5"/>
      <c r="M24" s="5"/>
      <c r="N24" s="5"/>
      <c r="O24" s="5"/>
    </row>
    <row r="25" spans="2:24" ht="17.25" customHeight="1" x14ac:dyDescent="0.35">
      <c r="B25" s="72" t="s">
        <v>73</v>
      </c>
      <c r="C25" s="71"/>
      <c r="D25" s="71"/>
      <c r="E25" s="71"/>
      <c r="F25" s="71"/>
      <c r="G25" s="71"/>
      <c r="H25" s="71"/>
      <c r="I25" s="71"/>
      <c r="J25" s="71"/>
      <c r="K25" s="71"/>
      <c r="L25" s="71"/>
      <c r="M25" s="71"/>
      <c r="N25" s="71"/>
      <c r="O25" s="71"/>
    </row>
    <row r="26" spans="2:24" ht="17.25" customHeight="1" x14ac:dyDescent="0.35">
      <c r="B26" s="69" t="s">
        <v>74</v>
      </c>
      <c r="C26" s="69"/>
      <c r="D26" s="69"/>
      <c r="E26" s="69"/>
      <c r="F26" s="69"/>
      <c r="G26" s="69"/>
      <c r="H26" s="69"/>
      <c r="I26" s="69"/>
      <c r="J26" s="69"/>
      <c r="K26" s="69"/>
      <c r="L26" s="69"/>
      <c r="M26" s="69"/>
      <c r="N26" s="69"/>
      <c r="O26" s="69"/>
    </row>
    <row r="27" spans="2:24" ht="33.75" customHeight="1" x14ac:dyDescent="0.35">
      <c r="B27" s="71" t="s">
        <v>53</v>
      </c>
      <c r="C27" s="71"/>
      <c r="D27" s="71"/>
      <c r="E27" s="71"/>
      <c r="F27" s="71"/>
      <c r="G27" s="71"/>
      <c r="H27" s="71"/>
      <c r="I27" s="71"/>
      <c r="J27" s="71"/>
      <c r="K27" s="71"/>
      <c r="L27" s="71"/>
      <c r="M27" s="71"/>
      <c r="N27" s="71"/>
      <c r="O27" s="71"/>
    </row>
    <row r="28" spans="2:24" ht="63.75" customHeight="1" x14ac:dyDescent="0.35">
      <c r="B28" s="71" t="s">
        <v>75</v>
      </c>
      <c r="C28" s="71"/>
      <c r="D28" s="71"/>
      <c r="E28" s="71"/>
      <c r="F28" s="71"/>
      <c r="G28" s="71"/>
      <c r="H28" s="71"/>
      <c r="I28" s="71"/>
      <c r="J28" s="71"/>
      <c r="K28" s="71"/>
      <c r="L28" s="71"/>
      <c r="M28" s="71"/>
      <c r="N28" s="71"/>
      <c r="O28" s="71"/>
    </row>
    <row r="29" spans="2:24" x14ac:dyDescent="0.35">
      <c r="G29" s="5"/>
      <c r="I29" s="5"/>
      <c r="K29" s="5"/>
      <c r="L29" s="5"/>
      <c r="M29" s="5"/>
      <c r="N29" s="5"/>
      <c r="O29" s="5"/>
    </row>
    <row r="30" spans="2:24" x14ac:dyDescent="0.35">
      <c r="G30" s="5"/>
      <c r="I30" s="5"/>
      <c r="K30" s="5"/>
      <c r="L30" s="5"/>
      <c r="M30" s="5"/>
      <c r="N30" s="5"/>
      <c r="O30" s="5"/>
    </row>
    <row r="31" spans="2:24" x14ac:dyDescent="0.35">
      <c r="B31" s="65" t="s">
        <v>13</v>
      </c>
      <c r="C31" s="65"/>
      <c r="D31" s="65"/>
      <c r="E31" s="65"/>
      <c r="F31" s="65"/>
      <c r="G31" s="65"/>
      <c r="H31" s="65"/>
      <c r="I31" s="65"/>
      <c r="J31" s="65"/>
      <c r="K31" s="65"/>
      <c r="L31" s="65"/>
      <c r="M31" s="65"/>
      <c r="N31" s="65"/>
      <c r="O31" s="65"/>
    </row>
  </sheetData>
  <sheetProtection algorithmName="SHA-512" hashValue="nNGOjX1I0MxDBBl7+CRH7/vmKPPmVzOR0uPvOnqMSg5A0ivZAbnSuJ4DELQhsAtYhJ+GTNz6zuF47/X2oYLBDg==" saltValue="zdIesmqOU1ObQRvRURgIAw==" spinCount="100000" sheet="1" objects="1" scenarios="1"/>
  <mergeCells count="9">
    <mergeCell ref="P16:X17"/>
    <mergeCell ref="B27:O27"/>
    <mergeCell ref="B28:O28"/>
    <mergeCell ref="B31:O31"/>
    <mergeCell ref="G2:O2"/>
    <mergeCell ref="C9:D9"/>
    <mergeCell ref="B19:F19"/>
    <mergeCell ref="B25:O25"/>
    <mergeCell ref="B26:O26"/>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8E7EAE5B-48FA-4784-BA04-FD174D6B6FD2}">
          <x14:formula1>
            <xm:f>Data!$A$2:$A$22</xm:f>
          </x14:formula1>
          <xm:sqref>I5 K5 M5 O5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02FEC-4DBA-414C-BC5C-16F929AA51DF}">
  <sheetPr>
    <pageSetUpPr fitToPage="1"/>
  </sheetPr>
  <dimension ref="B1:X37"/>
  <sheetViews>
    <sheetView showGridLines="0" showRowColHeaders="0" showRuler="0" zoomScaleNormal="100" workbookViewId="0">
      <selection activeCell="L6" sqref="L6"/>
    </sheetView>
  </sheetViews>
  <sheetFormatPr defaultColWidth="8.90625" defaultRowHeight="14.5" x14ac:dyDescent="0.35"/>
  <cols>
    <col min="1" max="1" width="4.08984375" customWidth="1"/>
    <col min="2" max="2" width="2.08984375" customWidth="1"/>
    <col min="5" max="5" width="26.08984375" customWidth="1"/>
    <col min="6" max="6" width="11.453125" bestFit="1" customWidth="1"/>
    <col min="8" max="8" width="14.90625" style="5" customWidth="1"/>
    <col min="9" max="9" width="4.6328125" customWidth="1"/>
    <col min="10" max="10" width="13.453125" style="5" customWidth="1"/>
    <col min="11" max="11" width="4.6328125" customWidth="1"/>
    <col min="12" max="12" width="13.453125" style="5" customWidth="1"/>
    <col min="13" max="13" width="4.6328125" style="5" customWidth="1"/>
    <col min="14" max="14" width="13.453125" style="5" customWidth="1"/>
    <col min="15" max="15" width="3.453125" customWidth="1"/>
  </cols>
  <sheetData>
    <row r="1" spans="2:19" ht="17.25" customHeight="1" x14ac:dyDescent="0.35"/>
    <row r="2" spans="2:19" ht="47.25" customHeight="1" x14ac:dyDescent="0.35">
      <c r="E2" s="63" t="s">
        <v>59</v>
      </c>
      <c r="F2" s="63"/>
      <c r="G2" s="63"/>
      <c r="H2" s="63"/>
      <c r="I2" s="63"/>
      <c r="J2" s="63"/>
      <c r="K2" s="63"/>
      <c r="L2" s="63"/>
      <c r="M2" s="63"/>
      <c r="N2" s="63"/>
      <c r="O2" s="63"/>
    </row>
    <row r="3" spans="2:19" ht="8.25" customHeight="1" x14ac:dyDescent="0.35">
      <c r="B3" s="19"/>
      <c r="C3" s="19"/>
      <c r="D3" s="19"/>
      <c r="E3" s="19"/>
      <c r="F3" s="19"/>
      <c r="G3" s="19"/>
      <c r="H3" s="20"/>
      <c r="I3" s="21"/>
      <c r="J3" s="21"/>
      <c r="K3" s="21"/>
      <c r="L3" s="21"/>
      <c r="M3" s="21"/>
      <c r="N3" s="21"/>
      <c r="O3" s="21"/>
    </row>
    <row r="4" spans="2:19" ht="10.5" customHeight="1" x14ac:dyDescent="0.35">
      <c r="J4" s="37"/>
      <c r="L4" s="37"/>
      <c r="N4" s="37"/>
    </row>
    <row r="5" spans="2:19" x14ac:dyDescent="0.35">
      <c r="J5" s="37" t="s">
        <v>60</v>
      </c>
      <c r="L5" s="37" t="s">
        <v>61</v>
      </c>
      <c r="N5" s="37" t="s">
        <v>62</v>
      </c>
    </row>
    <row r="6" spans="2:19" ht="18" customHeight="1" x14ac:dyDescent="0.45">
      <c r="D6" s="6" t="s">
        <v>14</v>
      </c>
      <c r="E6" s="27"/>
      <c r="F6" s="27"/>
      <c r="G6" s="27"/>
      <c r="H6" s="27"/>
      <c r="I6" s="27"/>
      <c r="J6" s="36" t="s">
        <v>46</v>
      </c>
      <c r="L6" s="36" t="s">
        <v>46</v>
      </c>
      <c r="M6" s="22"/>
      <c r="N6" s="36" t="s">
        <v>46</v>
      </c>
      <c r="O6" s="27"/>
    </row>
    <row r="7" spans="2:19" ht="6" customHeight="1" x14ac:dyDescent="0.35"/>
    <row r="8" spans="2:19" ht="15" thickBot="1" x14ac:dyDescent="0.4">
      <c r="B8" s="1" t="s">
        <v>7</v>
      </c>
      <c r="C8" s="1"/>
      <c r="D8" s="2"/>
      <c r="E8" s="2"/>
      <c r="F8" s="2"/>
      <c r="G8" s="2"/>
      <c r="H8" s="4" t="s">
        <v>3</v>
      </c>
      <c r="I8" s="3"/>
      <c r="J8" s="4" t="s">
        <v>63</v>
      </c>
      <c r="K8" s="3"/>
      <c r="L8" s="4" t="s">
        <v>64</v>
      </c>
      <c r="M8" s="4"/>
      <c r="N8" s="4" t="s">
        <v>65</v>
      </c>
      <c r="O8" s="2"/>
      <c r="Q8" s="57" t="str">
        <f>IFERROR(_xlfn.NUMBERVALUE(TRIM(LEFT(J6,2))),"")</f>
        <v/>
      </c>
      <c r="R8" s="57" t="str">
        <f>IFERROR(_xlfn.NUMBERVALUE(TRIM(LEFT(L6,2))),"")</f>
        <v/>
      </c>
      <c r="S8" s="57" t="str">
        <f>IFERROR(_xlfn.NUMBERVALUE(TRIM(LEFT(N6,2))),"")</f>
        <v/>
      </c>
    </row>
    <row r="9" spans="2:19" ht="9" customHeight="1" x14ac:dyDescent="0.35"/>
    <row r="10" spans="2:19" ht="21.75" customHeight="1" x14ac:dyDescent="0.35">
      <c r="B10" s="9" t="s">
        <v>1</v>
      </c>
      <c r="C10" s="9"/>
      <c r="D10" s="64"/>
      <c r="E10" s="64"/>
      <c r="F10" s="10"/>
      <c r="G10" s="10"/>
      <c r="H10" s="11">
        <f>J10+L10+N10</f>
        <v>0</v>
      </c>
      <c r="I10" s="10"/>
      <c r="J10" s="11">
        <f>VLOOKUP(J6,Data!A2:D22,2,FALSE)</f>
        <v>0</v>
      </c>
      <c r="K10" s="10"/>
      <c r="L10" s="11">
        <f>VLOOKUP(L6,Data!A2:D22,2,FALSE)</f>
        <v>0</v>
      </c>
      <c r="M10" s="11"/>
      <c r="N10" s="11">
        <f>VLOOKUP(N6,Data!A2:D22,2,FALSE)</f>
        <v>0</v>
      </c>
      <c r="O10" s="10"/>
    </row>
    <row r="11" spans="2:19" ht="21.75" customHeight="1" x14ac:dyDescent="0.35">
      <c r="B11" s="35" t="s">
        <v>0</v>
      </c>
      <c r="C11" s="35"/>
    </row>
    <row r="12" spans="2:19" ht="21.75" customHeight="1" x14ac:dyDescent="0.35">
      <c r="B12" s="12" t="s">
        <v>2</v>
      </c>
      <c r="C12" s="12"/>
      <c r="D12" s="10"/>
      <c r="E12" s="10"/>
      <c r="F12" s="10"/>
      <c r="G12" s="10"/>
      <c r="H12" s="11">
        <f>J12+L12+N12</f>
        <v>0</v>
      </c>
      <c r="I12" s="10"/>
      <c r="J12" s="11">
        <f>VLOOKUP(J6,Data!A2:D22,4,FALSE)</f>
        <v>0</v>
      </c>
      <c r="K12" s="10"/>
      <c r="L12" s="11">
        <f>VLOOKUP(L6,Data!A2:D22,4,FALSE)</f>
        <v>0</v>
      </c>
      <c r="M12" s="11"/>
      <c r="N12" s="11">
        <f>VLOOKUP(N6,Data!A2:D22,4,FALSE)</f>
        <v>0</v>
      </c>
      <c r="O12" s="10"/>
    </row>
    <row r="13" spans="2:19" ht="21.75" customHeight="1" x14ac:dyDescent="0.35">
      <c r="B13" s="33" t="s">
        <v>16</v>
      </c>
      <c r="C13" s="33"/>
      <c r="H13" s="5">
        <f>J13+L13+N13</f>
        <v>0</v>
      </c>
      <c r="J13" s="5">
        <f>IF(AND(J6&lt;&gt;"not enrolled", J6&lt;&gt;"select"), 57, 0)</f>
        <v>0</v>
      </c>
      <c r="L13" s="5">
        <f>IF(AND(L6&lt;&gt;"not enrolled", L6&lt;&gt;"select"), 57, 0)</f>
        <v>0</v>
      </c>
      <c r="N13" s="5">
        <f>IF(AND(N6&lt;&gt;"not enrolled", N6&lt;&gt;"select"), 57, 0)</f>
        <v>0</v>
      </c>
    </row>
    <row r="14" spans="2:19" ht="21.75" customHeight="1" x14ac:dyDescent="0.35">
      <c r="B14" s="66" t="s">
        <v>43</v>
      </c>
      <c r="C14" s="66"/>
      <c r="D14" s="66"/>
      <c r="E14" s="67"/>
      <c r="F14" s="29"/>
      <c r="G14" s="10"/>
      <c r="H14" s="28">
        <f>J14+L14+N14</f>
        <v>0</v>
      </c>
      <c r="I14" s="10"/>
      <c r="J14" s="28">
        <f>IF(AND(F14="Yes", J6&lt;&gt;"not enrolled"), (VLOOKUP(F14, Data!A25:D26, 2, FALSE)), 0)</f>
        <v>0</v>
      </c>
      <c r="K14" s="10"/>
      <c r="L14" s="28">
        <v>0</v>
      </c>
      <c r="M14" s="28"/>
      <c r="N14" s="28">
        <f>IF(AND(F14="Yes", N6&lt;&gt;"not enrolled"), (VLOOKUP(F14, Data!A25:D26, 2, FALSE)), 0)</f>
        <v>0</v>
      </c>
      <c r="O14" s="10"/>
    </row>
    <row r="15" spans="2:19" ht="21.75" customHeight="1" x14ac:dyDescent="0.35">
      <c r="B15" s="68" t="s">
        <v>48</v>
      </c>
      <c r="C15" s="68"/>
      <c r="D15" s="68"/>
      <c r="E15" s="68"/>
      <c r="F15" s="45"/>
      <c r="G15" s="30"/>
      <c r="H15" s="31">
        <f>J15+L15+N15</f>
        <v>0</v>
      </c>
      <c r="I15" s="30"/>
      <c r="J15" s="44">
        <f>IF(AND(J6&lt;&gt;"select", J6&lt;&gt;"not enrolled",J6&lt;&gt;"4 credits",J6&lt;&gt;"5 credits",J6&lt;&gt;"6 credits",J6&lt;&gt;"7 credits"), 258, 0)</f>
        <v>0</v>
      </c>
      <c r="K15" s="30"/>
      <c r="L15" s="44">
        <f>IF(AND(L6&lt;&gt;"select", L6&lt;&gt;"not enrolled",L6&lt;&gt;"4 credits",L6&lt;&gt;"5 credits",L6&lt;&gt;"6 credits",L6&lt;&gt;"7 credits"), 258, 0)</f>
        <v>0</v>
      </c>
      <c r="M15" s="31"/>
      <c r="N15" s="44">
        <f>IF(AND(N6&lt;&gt;"select", N6&lt;&gt;"not enrolled",N6&lt;&gt;"4 credits",N6&lt;&gt;"5 credits",N6&lt;&gt;"6 credits",N6&lt;&gt;"7 credits"), 258, 0)</f>
        <v>0</v>
      </c>
      <c r="O15" s="30"/>
    </row>
    <row r="16" spans="2:19" ht="21.75" customHeight="1" x14ac:dyDescent="0.35">
      <c r="D16" s="7" t="s">
        <v>6</v>
      </c>
      <c r="H16" s="8">
        <f>SUM(H10, H12:H15)</f>
        <v>0</v>
      </c>
      <c r="J16" s="8">
        <f>SUM(J10,J12:J15)</f>
        <v>0</v>
      </c>
      <c r="L16" s="8">
        <f>SUM(L10,L12:L15)</f>
        <v>0</v>
      </c>
      <c r="M16" s="8"/>
      <c r="N16" s="8">
        <f>SUM(N10,N12:N15)</f>
        <v>0</v>
      </c>
    </row>
    <row r="17" spans="2:24" ht="24" customHeight="1" x14ac:dyDescent="0.35"/>
    <row r="18" spans="2:24" ht="15" thickBot="1" x14ac:dyDescent="0.4">
      <c r="B18" s="1" t="s">
        <v>10</v>
      </c>
      <c r="C18" s="1"/>
      <c r="D18" s="2"/>
      <c r="E18" s="2"/>
      <c r="F18" s="2"/>
      <c r="G18" s="2"/>
      <c r="H18" s="4" t="s">
        <v>3</v>
      </c>
      <c r="I18" s="3"/>
      <c r="J18" s="4" t="s">
        <v>63</v>
      </c>
      <c r="K18" s="3"/>
      <c r="L18" s="4" t="s">
        <v>64</v>
      </c>
      <c r="M18" s="4"/>
      <c r="N18" s="4" t="s">
        <v>65</v>
      </c>
      <c r="O18" s="2"/>
      <c r="Q18" s="57">
        <f>IF($J$6="not enrolled",1,IF(Q8&lt;8,1,0))</f>
        <v>0</v>
      </c>
      <c r="R18" s="57">
        <f>IF($L$6="not enrolled",1,IF(R8&lt;8,1,0))</f>
        <v>0</v>
      </c>
      <c r="S18" s="57">
        <f>IF($N$6="not enrolled",1,IF(S8&lt;8,1,0))</f>
        <v>0</v>
      </c>
    </row>
    <row r="19" spans="2:24" ht="21.75" customHeight="1" x14ac:dyDescent="0.35">
      <c r="B19" t="s">
        <v>15</v>
      </c>
      <c r="H19" s="15"/>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24" ht="21.75" customHeight="1" x14ac:dyDescent="0.35">
      <c r="B20" s="10" t="s">
        <v>8</v>
      </c>
      <c r="C20" s="10"/>
      <c r="D20" s="10"/>
      <c r="E20" s="10"/>
      <c r="F20" s="10"/>
      <c r="G20" s="10"/>
      <c r="H20" s="16"/>
      <c r="I20" s="10"/>
      <c r="J20" s="11">
        <f>IF((AND(J6&lt;&gt;"not enrolled", L6&lt;&gt;"not enrolled", N6&lt;&gt;"not enrolled")), (H20/3), IF((AND(J6&lt;&gt;"not enrolled", L6&lt;&gt;"not enrolled", N6="not enrolled")), (H20/2), IF((AND(J6&lt;&gt;"not enrolled", L6="not enrolled", N6="not enrolled")), (H20/1), 0)))</f>
        <v>0</v>
      </c>
      <c r="K20" s="10"/>
      <c r="L20" s="11">
        <f>IF((AND(J6&lt;&gt;"not enrolled", L6&lt;&gt;"not enrolled", N6&lt;&gt;"not enrolled")), (H20/3), IF((AND(J6&lt;&gt;"not enrolled", L6&lt;&gt;"not enrolled", N6="not enrolled")), (H20/2), IF((AND(J6="not enrolled", L6&lt;&gt;"not enrolled", N6&lt;&gt;"not enrolled")), (H20/2), 0)))</f>
        <v>0</v>
      </c>
      <c r="M20" s="11"/>
      <c r="N20" s="11">
        <f>IF((AND(J6&lt;&gt;"not enrolled", L6&lt;&gt;"not enrolled", N6&lt;&gt;"not enrolled")), (H20/3), IF((AND(J6="not enrolled", L6&lt;&gt;"not enrolled", N6&lt;&gt;"not enrolled")), (H20/2), IF((AND(J6="not enrolled", L6="not enrolled", N6&lt;&gt;"not enrolled")), (H20), 0)))</f>
        <v>0</v>
      </c>
      <c r="O20" s="10"/>
    </row>
    <row r="21" spans="2:24" ht="21.75" customHeight="1" x14ac:dyDescent="0.35">
      <c r="B21" t="s">
        <v>49</v>
      </c>
      <c r="F21" s="17"/>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c r="P21" s="62" t="str">
        <f>IFERROR(IF(SUM($Q$18:$T$18)=0,"",Language!$A$1),"")</f>
        <v/>
      </c>
      <c r="Q21" s="62"/>
      <c r="R21" s="62"/>
      <c r="S21" s="62"/>
      <c r="T21" s="62"/>
      <c r="U21" s="62"/>
      <c r="V21" s="62"/>
      <c r="W21" s="62"/>
      <c r="X21" s="62"/>
    </row>
    <row r="22" spans="2:24" ht="21.75" customHeight="1" x14ac:dyDescent="0.35">
      <c r="B22" s="10" t="s">
        <v>50</v>
      </c>
      <c r="C22" s="10"/>
      <c r="D22" s="10"/>
      <c r="E22" s="10"/>
      <c r="F22" s="17"/>
      <c r="G22" s="10"/>
      <c r="H22" s="11">
        <f>SUM(J22,L22,N22)</f>
        <v>0</v>
      </c>
      <c r="I22" s="10"/>
      <c r="J22" s="11">
        <f>IF((AND(J6&lt;&gt;"not enrolled", L6&lt;&gt;"not enrolled", N6&lt;&gt;"not enrolled")), ROUND(((F22-(F22*0.04228))/3),0), IF((AND(J6&lt;&gt;"not enrolled", L6&lt;&gt;"not enrolled", N6="not enrolled")), ROUND(((F22-(F22*0.04228))/2),0), IF((AND(J6&lt;&gt;"not enrolled", L6="not enrolled", N6="not enrolled")), ROUND(((F22-(F22*0.04228))/1),0), 0)))</f>
        <v>0</v>
      </c>
      <c r="K22" s="10"/>
      <c r="L22" s="11">
        <f>IF((AND(J6&lt;&gt;"not enrolled", L6&lt;&gt;"not enrolled", N6&lt;&gt;"not enrolled")), ROUND(((F22-(F22*0.04228))/3),0), IF((AND(J6&lt;&gt;"not enrolled", L6&lt;&gt;"not enrolled", N6="not enrolled")), ROUND(((F22-(F22*0.04228))/2),0), IF((AND(J6="not enrolled", L6&lt;&gt;"not enrolled", N6&lt;&gt;"not enrolled")), ROUND(((F22-(F22*0.04228))/2),0), 0)))</f>
        <v>0</v>
      </c>
      <c r="M22" s="11"/>
      <c r="N22" s="11">
        <f>IF((AND(J6&lt;&gt;"not enrolled", L6&lt;&gt;"not enrolled", N6&lt;&gt;"not enrolled")), ROUND(((F22-(F22*0.04228))/3),0), IF((AND(J6="not enrolled", L6&lt;&gt;"not enrolled", N6&lt;&gt;"not enrolled")), ROUND(((F22-(F22*0.04228))/2),0), IF((AND(J6="not enrolled", L6="not enrolled", N6&lt;&gt;"not enrolled")), ROUND(((F22-(F22*0.04228))/1),0), 0)))</f>
        <v>0</v>
      </c>
      <c r="O22" s="10"/>
      <c r="P22" s="62"/>
      <c r="Q22" s="62"/>
      <c r="R22" s="62"/>
      <c r="S22" s="62"/>
      <c r="T22" s="62"/>
      <c r="U22" s="62"/>
      <c r="V22" s="62"/>
      <c r="W22" s="62"/>
      <c r="X22" s="62"/>
    </row>
    <row r="23" spans="2:24" ht="21.75" customHeight="1" x14ac:dyDescent="0.35">
      <c r="B23" s="69" t="s">
        <v>21</v>
      </c>
      <c r="C23" s="69"/>
      <c r="D23" s="69"/>
      <c r="E23" s="69"/>
      <c r="F23" s="69"/>
      <c r="H23" s="16"/>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24" ht="21.75" customHeight="1" x14ac:dyDescent="0.35">
      <c r="B24" s="70" t="s">
        <v>22</v>
      </c>
      <c r="C24" s="70"/>
      <c r="D24" s="70"/>
      <c r="E24" s="70"/>
      <c r="F24" s="70"/>
      <c r="G24" s="70"/>
      <c r="H24" s="26">
        <f>J24+L24+N24</f>
        <v>0</v>
      </c>
      <c r="I24" s="25"/>
      <c r="J24" s="18"/>
      <c r="K24" s="25"/>
      <c r="L24" s="18"/>
      <c r="M24" s="32"/>
      <c r="N24" s="42"/>
      <c r="O24" s="25"/>
    </row>
    <row r="25" spans="2:24" ht="21.75" customHeight="1" x14ac:dyDescent="0.35">
      <c r="D25" s="7" t="s">
        <v>9</v>
      </c>
      <c r="H25" s="5">
        <f>SUM(H19:H24)</f>
        <v>0</v>
      </c>
      <c r="J25" s="5">
        <f>SUM(J19:J24)</f>
        <v>0</v>
      </c>
      <c r="L25" s="5">
        <f>SUM(L19:L23,L24)</f>
        <v>0</v>
      </c>
      <c r="N25" s="5">
        <f>SUM(N19:N23,N24)</f>
        <v>0</v>
      </c>
    </row>
    <row r="26" spans="2:24" ht="15" thickBot="1" x14ac:dyDescent="0.4"/>
    <row r="27" spans="2:24" ht="21.75" customHeight="1" thickTop="1" thickBot="1" x14ac:dyDescent="0.5">
      <c r="B27" s="14" t="s">
        <v>11</v>
      </c>
      <c r="C27" s="14"/>
      <c r="D27" s="13"/>
      <c r="E27" s="13"/>
      <c r="F27" s="13"/>
      <c r="G27" s="13"/>
      <c r="H27" s="23">
        <f>H16-H25</f>
        <v>0</v>
      </c>
      <c r="I27" s="24"/>
      <c r="J27" s="23">
        <f>J16-J25</f>
        <v>0</v>
      </c>
      <c r="K27" s="24"/>
      <c r="L27" s="23">
        <f>L16-L25</f>
        <v>0</v>
      </c>
      <c r="M27" s="23"/>
      <c r="N27" s="23">
        <f>N16-N25</f>
        <v>0</v>
      </c>
      <c r="O27" s="13"/>
    </row>
    <row r="28" spans="2:24" ht="15" thickTop="1" x14ac:dyDescent="0.35"/>
    <row r="29" spans="2:24" x14ac:dyDescent="0.35">
      <c r="B29" s="7" t="s">
        <v>12</v>
      </c>
      <c r="C29" s="7"/>
    </row>
    <row r="30" spans="2:24" ht="21.75" customHeight="1" x14ac:dyDescent="0.35">
      <c r="B30" s="39">
        <v>1</v>
      </c>
      <c r="C30" t="s">
        <v>66</v>
      </c>
      <c r="D30" s="38"/>
      <c r="E30" s="38"/>
      <c r="F30" s="38"/>
      <c r="G30" s="38"/>
      <c r="H30" s="38"/>
      <c r="I30" s="38"/>
      <c r="J30" s="38"/>
      <c r="K30" s="38"/>
      <c r="L30" s="38"/>
      <c r="M30" s="38"/>
      <c r="N30" s="38"/>
      <c r="O30" s="38"/>
    </row>
    <row r="31" spans="2:24" ht="18" customHeight="1" x14ac:dyDescent="0.35">
      <c r="B31" s="41">
        <v>2</v>
      </c>
      <c r="C31" t="s">
        <v>67</v>
      </c>
      <c r="H31"/>
      <c r="J31"/>
      <c r="L31"/>
      <c r="M31"/>
      <c r="N31"/>
    </row>
    <row r="32" spans="2:24" ht="32.25" customHeight="1" x14ac:dyDescent="0.35">
      <c r="B32" s="40">
        <v>3</v>
      </c>
      <c r="C32" s="71" t="s">
        <v>68</v>
      </c>
      <c r="D32" s="71"/>
      <c r="E32" s="71"/>
      <c r="F32" s="71"/>
      <c r="G32" s="71"/>
      <c r="H32" s="71"/>
      <c r="I32" s="71"/>
      <c r="J32" s="71"/>
      <c r="K32" s="71"/>
      <c r="L32" s="71"/>
      <c r="M32" s="71"/>
      <c r="N32" s="71"/>
      <c r="O32" s="71"/>
    </row>
    <row r="33" spans="2:15" ht="31.5" customHeight="1" x14ac:dyDescent="0.35">
      <c r="B33" s="40">
        <v>4</v>
      </c>
      <c r="C33" s="71" t="s">
        <v>47</v>
      </c>
      <c r="D33" s="71"/>
      <c r="E33" s="71"/>
      <c r="F33" s="71"/>
      <c r="G33" s="71"/>
      <c r="H33" s="71"/>
      <c r="I33" s="71"/>
      <c r="J33" s="71"/>
      <c r="K33" s="71"/>
      <c r="L33" s="71"/>
      <c r="M33" s="71"/>
      <c r="N33" s="71"/>
      <c r="O33" s="71"/>
    </row>
    <row r="34" spans="2:15" ht="63.75" customHeight="1" x14ac:dyDescent="0.35">
      <c r="B34" s="40">
        <v>5</v>
      </c>
      <c r="C34" s="71" t="s">
        <v>69</v>
      </c>
      <c r="D34" s="71"/>
      <c r="E34" s="71"/>
      <c r="F34" s="71"/>
      <c r="G34" s="71"/>
      <c r="H34" s="71"/>
      <c r="I34" s="71"/>
      <c r="J34" s="71"/>
      <c r="K34" s="71"/>
      <c r="L34" s="71"/>
      <c r="M34" s="71"/>
      <c r="N34" s="71"/>
      <c r="O34" s="71"/>
    </row>
    <row r="35" spans="2:15" ht="21.75" customHeight="1" x14ac:dyDescent="0.35"/>
    <row r="37" spans="2:15" x14ac:dyDescent="0.35">
      <c r="B37" s="65" t="s">
        <v>13</v>
      </c>
      <c r="C37" s="65"/>
      <c r="D37" s="65"/>
      <c r="E37" s="65"/>
      <c r="F37" s="65"/>
      <c r="G37" s="65"/>
      <c r="H37" s="65"/>
      <c r="I37" s="65"/>
      <c r="J37" s="65"/>
      <c r="K37" s="65"/>
      <c r="L37" s="65"/>
      <c r="M37" s="65"/>
      <c r="N37" s="65"/>
      <c r="O37" s="65"/>
    </row>
  </sheetData>
  <sheetProtection algorithmName="SHA-512" hashValue="YcSIlNCjcukXsoybNM40kks+lVDa86MpRWeIN9qCXL1SsKuqjavTRmt4WXf8FNr/Gc6kkW5XByDZQm+8v756WA==" saltValue="cTthsDkJCVj8Jt6l+nU43A==" spinCount="100000" sheet="1" selectLockedCells="1"/>
  <mergeCells count="11">
    <mergeCell ref="E2:O2"/>
    <mergeCell ref="D10:E10"/>
    <mergeCell ref="B14:E14"/>
    <mergeCell ref="B15:E15"/>
    <mergeCell ref="B23:F23"/>
    <mergeCell ref="P21:X22"/>
    <mergeCell ref="C32:O32"/>
    <mergeCell ref="C33:O33"/>
    <mergeCell ref="C34:O34"/>
    <mergeCell ref="B37:O37"/>
    <mergeCell ref="B24:G24"/>
  </mergeCells>
  <hyperlinks>
    <hyperlink ref="B14" r:id="rId1" display="Will you enroll in DU's health insurance plan?" xr:uid="{469F9613-A841-4407-982F-05F26FBD9B63}"/>
    <hyperlink ref="B15" r:id="rId2" display="Will you use DU Health &amp; Counseling Services? " xr:uid="{4E560143-0C98-49A8-A6A4-28C19EFF3A8B}"/>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13C96C15-D3D1-4BD1-92D1-D080B9C3344B}">
          <x14:formula1>
            <xm:f>Data!$A$25:$A$26</xm:f>
          </x14:formula1>
          <xm:sqref>F14</xm:sqref>
        </x14:dataValidation>
        <x14:dataValidation type="list" allowBlank="1" showInputMessage="1" showErrorMessage="1" xr:uid="{855EEE5B-7C55-4B7A-A09D-6A1AF3908B08}">
          <x14:formula1>
            <xm:f>Data!$A$2:$A$22</xm:f>
          </x14:formula1>
          <xm:sqref>N6 J6 L6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8F742-1950-41BF-B501-26B261B9B950}">
  <dimension ref="A1"/>
  <sheetViews>
    <sheetView workbookViewId="0"/>
  </sheetViews>
  <sheetFormatPr defaultRowHeight="14.5" x14ac:dyDescent="0.35"/>
  <sheetData>
    <row r="1" spans="1:1" x14ac:dyDescent="0.35">
      <c r="A1" s="73" t="s">
        <v>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8"/>
  <sheetViews>
    <sheetView workbookViewId="0">
      <selection activeCell="L10" sqref="L10"/>
    </sheetView>
  </sheetViews>
  <sheetFormatPr defaultColWidth="8.90625" defaultRowHeight="14.5" x14ac:dyDescent="0.35"/>
  <cols>
    <col min="1" max="1" width="20.6328125" customWidth="1"/>
    <col min="2" max="6" width="8.08984375" customWidth="1"/>
    <col min="7" max="7" width="12" bestFit="1" customWidth="1"/>
    <col min="8" max="9" width="8.453125" customWidth="1"/>
    <col min="10" max="10" width="21.90625" bestFit="1" customWidth="1"/>
  </cols>
  <sheetData>
    <row r="1" spans="1:14" x14ac:dyDescent="0.35">
      <c r="A1" s="7" t="s">
        <v>19</v>
      </c>
      <c r="B1" s="7" t="s">
        <v>56</v>
      </c>
      <c r="C1" s="7" t="s">
        <v>57</v>
      </c>
      <c r="G1" s="7"/>
      <c r="J1" s="7"/>
      <c r="N1" s="7"/>
    </row>
    <row r="2" spans="1:14" x14ac:dyDescent="0.35">
      <c r="A2" t="s">
        <v>46</v>
      </c>
      <c r="G2" s="7"/>
      <c r="J2" s="7"/>
      <c r="N2" s="7"/>
    </row>
    <row r="3" spans="1:14" x14ac:dyDescent="0.35">
      <c r="A3" t="s">
        <v>40</v>
      </c>
      <c r="B3">
        <v>0</v>
      </c>
      <c r="C3">
        <v>0</v>
      </c>
      <c r="D3">
        <v>0</v>
      </c>
    </row>
    <row r="4" spans="1:14" x14ac:dyDescent="0.35">
      <c r="A4" t="s">
        <v>23</v>
      </c>
      <c r="B4">
        <v>6872</v>
      </c>
      <c r="C4">
        <v>3436</v>
      </c>
      <c r="D4">
        <f>8*4</f>
        <v>32</v>
      </c>
    </row>
    <row r="5" spans="1:14" x14ac:dyDescent="0.35">
      <c r="A5" t="s">
        <v>24</v>
      </c>
      <c r="B5">
        <v>8590</v>
      </c>
      <c r="C5">
        <v>4295</v>
      </c>
      <c r="D5">
        <f>D4+8</f>
        <v>40</v>
      </c>
    </row>
    <row r="6" spans="1:14" x14ac:dyDescent="0.35">
      <c r="A6" t="s">
        <v>25</v>
      </c>
      <c r="B6">
        <v>10308</v>
      </c>
      <c r="C6">
        <v>5154</v>
      </c>
      <c r="D6">
        <f t="shared" ref="D6:D11" si="0">D5+8</f>
        <v>48</v>
      </c>
    </row>
    <row r="7" spans="1:14" x14ac:dyDescent="0.35">
      <c r="A7" t="s">
        <v>26</v>
      </c>
      <c r="B7">
        <v>12026</v>
      </c>
      <c r="C7">
        <v>6013</v>
      </c>
      <c r="D7">
        <f t="shared" si="0"/>
        <v>56</v>
      </c>
    </row>
    <row r="8" spans="1:14" x14ac:dyDescent="0.35">
      <c r="A8" t="s">
        <v>27</v>
      </c>
      <c r="B8">
        <v>13744</v>
      </c>
      <c r="C8">
        <v>6872</v>
      </c>
      <c r="D8">
        <f t="shared" si="0"/>
        <v>64</v>
      </c>
    </row>
    <row r="9" spans="1:14" x14ac:dyDescent="0.35">
      <c r="A9" t="s">
        <v>28</v>
      </c>
      <c r="B9">
        <v>15462</v>
      </c>
      <c r="C9">
        <v>7731</v>
      </c>
      <c r="D9">
        <f t="shared" si="0"/>
        <v>72</v>
      </c>
    </row>
    <row r="10" spans="1:14" x14ac:dyDescent="0.35">
      <c r="A10" t="s">
        <v>29</v>
      </c>
      <c r="B10">
        <v>17180</v>
      </c>
      <c r="C10">
        <v>8590</v>
      </c>
      <c r="D10">
        <f t="shared" si="0"/>
        <v>80</v>
      </c>
    </row>
    <row r="11" spans="1:14" x14ac:dyDescent="0.35">
      <c r="A11" t="s">
        <v>30</v>
      </c>
      <c r="B11">
        <v>18898</v>
      </c>
      <c r="C11">
        <v>9449</v>
      </c>
      <c r="D11">
        <f t="shared" si="0"/>
        <v>88</v>
      </c>
    </row>
    <row r="12" spans="1:14" x14ac:dyDescent="0.35">
      <c r="A12" t="s">
        <v>31</v>
      </c>
      <c r="B12">
        <v>20016</v>
      </c>
      <c r="C12">
        <v>10308</v>
      </c>
      <c r="D12">
        <f>D11+8</f>
        <v>96</v>
      </c>
    </row>
    <row r="13" spans="1:14" x14ac:dyDescent="0.35">
      <c r="A13" t="s">
        <v>32</v>
      </c>
      <c r="B13">
        <v>20616</v>
      </c>
      <c r="C13">
        <v>11167</v>
      </c>
      <c r="D13">
        <v>96</v>
      </c>
    </row>
    <row r="14" spans="1:14" x14ac:dyDescent="0.35">
      <c r="A14" t="s">
        <v>33</v>
      </c>
      <c r="B14">
        <v>22334</v>
      </c>
      <c r="C14">
        <v>12026</v>
      </c>
      <c r="D14">
        <v>96</v>
      </c>
    </row>
    <row r="15" spans="1:14" x14ac:dyDescent="0.35">
      <c r="A15" t="s">
        <v>34</v>
      </c>
      <c r="B15">
        <v>24052</v>
      </c>
      <c r="C15">
        <v>12885</v>
      </c>
      <c r="D15">
        <v>96</v>
      </c>
    </row>
    <row r="16" spans="1:14" x14ac:dyDescent="0.35">
      <c r="A16" t="s">
        <v>35</v>
      </c>
      <c r="B16">
        <v>25770</v>
      </c>
      <c r="C16">
        <v>13744</v>
      </c>
      <c r="D16">
        <v>96</v>
      </c>
    </row>
    <row r="17" spans="1:22" x14ac:dyDescent="0.35">
      <c r="A17" t="s">
        <v>36</v>
      </c>
      <c r="B17">
        <v>27488</v>
      </c>
      <c r="C17">
        <v>14603</v>
      </c>
      <c r="D17">
        <v>96</v>
      </c>
    </row>
    <row r="18" spans="1:22" x14ac:dyDescent="0.35">
      <c r="A18" t="s">
        <v>37</v>
      </c>
      <c r="B18">
        <v>29206</v>
      </c>
      <c r="C18">
        <v>15462</v>
      </c>
      <c r="D18">
        <v>96</v>
      </c>
    </row>
    <row r="19" spans="1:22" x14ac:dyDescent="0.35">
      <c r="A19" t="s">
        <v>38</v>
      </c>
      <c r="B19">
        <v>30924</v>
      </c>
      <c r="C19">
        <v>16321</v>
      </c>
      <c r="D19">
        <f>8*19</f>
        <v>152</v>
      </c>
    </row>
    <row r="20" spans="1:22" x14ac:dyDescent="0.35">
      <c r="A20" t="s">
        <v>39</v>
      </c>
      <c r="B20">
        <v>32642</v>
      </c>
      <c r="C20">
        <v>17180</v>
      </c>
      <c r="D20">
        <f t="shared" ref="D20:D22" si="1">D19+8</f>
        <v>160</v>
      </c>
    </row>
    <row r="21" spans="1:22" x14ac:dyDescent="0.35">
      <c r="A21" t="s">
        <v>41</v>
      </c>
      <c r="B21">
        <v>34360</v>
      </c>
      <c r="C21">
        <v>18039</v>
      </c>
      <c r="D21">
        <f t="shared" si="1"/>
        <v>168</v>
      </c>
    </row>
    <row r="22" spans="1:22" x14ac:dyDescent="0.35">
      <c r="A22" t="s">
        <v>42</v>
      </c>
      <c r="B22">
        <v>36078</v>
      </c>
      <c r="C22">
        <v>18898</v>
      </c>
      <c r="D22">
        <f t="shared" si="1"/>
        <v>176</v>
      </c>
    </row>
    <row r="24" spans="1:22" x14ac:dyDescent="0.35">
      <c r="A24" t="s">
        <v>20</v>
      </c>
    </row>
    <row r="25" spans="1:22" x14ac:dyDescent="0.35">
      <c r="A25" t="s">
        <v>4</v>
      </c>
      <c r="B25">
        <v>2200</v>
      </c>
    </row>
    <row r="26" spans="1:22" x14ac:dyDescent="0.35">
      <c r="A26" t="s">
        <v>5</v>
      </c>
      <c r="B26">
        <v>0</v>
      </c>
      <c r="J26" s="71"/>
      <c r="K26" s="71"/>
      <c r="L26" s="71"/>
      <c r="M26" s="71"/>
      <c r="N26" s="71"/>
      <c r="O26" s="71"/>
      <c r="P26" s="71"/>
      <c r="Q26" s="71"/>
      <c r="R26" s="71"/>
      <c r="S26" s="71"/>
      <c r="T26" s="71"/>
      <c r="U26" s="71"/>
      <c r="V26" s="71"/>
    </row>
    <row r="27" spans="1:22" x14ac:dyDescent="0.35">
      <c r="J27" s="71"/>
      <c r="K27" s="71"/>
      <c r="L27" s="71"/>
      <c r="M27" s="71"/>
      <c r="N27" s="71"/>
      <c r="O27" s="71"/>
      <c r="P27" s="71"/>
      <c r="Q27" s="71"/>
      <c r="R27" s="71"/>
      <c r="S27" s="71"/>
      <c r="T27" s="71"/>
      <c r="U27" s="71"/>
      <c r="V27" s="71"/>
    </row>
    <row r="28" spans="1:22" x14ac:dyDescent="0.35">
      <c r="J28" s="71"/>
      <c r="K28" s="71"/>
      <c r="L28" s="71"/>
      <c r="M28" s="71"/>
      <c r="N28" s="71"/>
      <c r="O28" s="71"/>
      <c r="P28" s="71"/>
      <c r="Q28" s="71"/>
      <c r="R28" s="71"/>
      <c r="S28" s="71"/>
      <c r="T28" s="71"/>
      <c r="U28" s="71"/>
      <c r="V28" s="71"/>
    </row>
  </sheetData>
  <sheetProtection algorithmName="SHA-512" hashValue="X+jikqmVHsJGy7bAGwk0F2JN1x8owDRvtFDqUMf/qRngA7KidpgjpIblIPeLFUWRVEc3Oe1pdiVRtCmoWm8lIQ==" saltValue="GIX4esNNe6gsesTyAAG6Hg==" spinCount="100000" sheet="1" selectLockedCells="1" selectUnlockedCells="1"/>
  <mergeCells count="3">
    <mergeCell ref="J26:V26"/>
    <mergeCell ref="J27:V27"/>
    <mergeCell ref="J28:V2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Worksheets Home</vt:lpstr>
      <vt:lpstr>PSM Bio, MA Phys</vt:lpstr>
      <vt:lpstr>Online GIS</vt:lpstr>
      <vt:lpstr>Most Programs</vt:lpstr>
      <vt:lpstr>Language</vt:lpstr>
      <vt:lpstr>Data</vt:lpstr>
      <vt:lpstr>Credits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Jaz Howard</cp:lastModifiedBy>
  <cp:lastPrinted>2019-02-07T21:36:17Z</cp:lastPrinted>
  <dcterms:created xsi:type="dcterms:W3CDTF">2018-06-06T22:54:45Z</dcterms:created>
  <dcterms:modified xsi:type="dcterms:W3CDTF">2026-06-03T22:10:20Z</dcterms:modified>
</cp:coreProperties>
</file>